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vsdx" ContentType="application/vnd.ms-visio.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reichledemassari-my.sharepoint.com/personal/thomas_junkermann_rdm_com/Documents/Desktop/"/>
    </mc:Choice>
  </mc:AlternateContent>
  <xr:revisionPtr revIDLastSave="0" documentId="8_{E4054FF9-EC95-40CD-AD7D-FD2B8DDC7D64}" xr6:coauthVersionLast="45" xr6:coauthVersionMax="45" xr10:uidLastSave="{00000000-0000-0000-0000-000000000000}"/>
  <workbookProtection workbookAlgorithmName="SHA-512" workbookHashValue="PH+9XwlXeoygVN9EVlTlku45Psa6dNcpZrHAhM9RLuyHV45OCvBh9PQSeZx+4KLwHbyPD23oZGCqvcWVTeEJIQ==" workbookSaltValue="S+7HRwHzbGJFXDOwn4QYvQ==" workbookSpinCount="100000" lockStructure="1"/>
  <bookViews>
    <workbookView xWindow="3120" yWindow="2055" windowWidth="24345" windowHeight="14145" activeTab="1" xr2:uid="{00000000-000D-0000-FFFF-FFFF00000000}"/>
  </bookViews>
  <sheets>
    <sheet name="RP Category Calculator" sheetId="5" r:id="rId1"/>
    <sheet name="Link Length Calculator" sheetId="1" r:id="rId2"/>
    <sheet name="Printout" sheetId="4" r:id="rId3"/>
    <sheet name="Presets" sheetId="3" state="hidden" r:id="rId4"/>
  </sheets>
  <definedNames>
    <definedName name="Bild1" localSheetId="2">Presets!#REF!</definedName>
    <definedName name="Bild1">Presets!#REF!</definedName>
    <definedName name="Modul">INDIRECT(Presets!$A$68)</definedName>
    <definedName name="Patchcord">INDIRECT(Presets!$A$69)</definedName>
    <definedName name="_xlnm.Print_Area" localSheetId="1">'Link Length Calculator'!$B$1:$Q$32</definedName>
    <definedName name="_xlnm.Print_Area" localSheetId="2">Printout!$B$1:$M$22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3" i="1" l="1"/>
  <c r="H14" i="1"/>
  <c r="C14" i="1" l="1"/>
  <c r="C13" i="1"/>
  <c r="I14" i="1" l="1"/>
  <c r="P14" i="1"/>
  <c r="I13" i="1"/>
  <c r="P13" i="1"/>
  <c r="I20" i="4"/>
  <c r="P11" i="1" l="1"/>
  <c r="P15" i="1" s="1"/>
  <c r="H8" i="5" l="1"/>
  <c r="H7" i="5"/>
  <c r="H6" i="5"/>
  <c r="H5" i="5"/>
  <c r="G4" i="5"/>
  <c r="J4" i="5" s="1"/>
  <c r="K4" i="5" l="1"/>
  <c r="D3" i="1" s="1"/>
  <c r="E11" i="3"/>
  <c r="E13" i="4"/>
  <c r="H22" i="4"/>
  <c r="B22" i="4"/>
  <c r="H21" i="4"/>
  <c r="B21" i="4"/>
  <c r="L12" i="4"/>
  <c r="H11" i="4"/>
  <c r="H13" i="4"/>
  <c r="H14" i="4"/>
  <c r="H15" i="4"/>
  <c r="H12" i="4"/>
  <c r="I18" i="4"/>
  <c r="I19" i="4"/>
  <c r="I17" i="4"/>
  <c r="L13" i="4"/>
  <c r="L14" i="4"/>
  <c r="M10" i="4"/>
  <c r="L10" i="4"/>
  <c r="K10" i="4"/>
  <c r="I10" i="4"/>
  <c r="J10" i="4"/>
  <c r="H10" i="4"/>
  <c r="F12" i="4"/>
  <c r="G12" i="4"/>
  <c r="F13" i="4"/>
  <c r="G13" i="4"/>
  <c r="F14" i="4"/>
  <c r="G14" i="4"/>
  <c r="F15" i="4"/>
  <c r="G15" i="4"/>
  <c r="G11" i="4"/>
  <c r="F11" i="4"/>
  <c r="E15" i="4"/>
  <c r="E11" i="4"/>
  <c r="C15" i="4"/>
  <c r="C11" i="4"/>
  <c r="I5" i="4"/>
  <c r="K3" i="4"/>
  <c r="I3" i="4"/>
  <c r="G8" i="4"/>
  <c r="F8" i="4"/>
  <c r="G5" i="4"/>
  <c r="F5" i="4"/>
  <c r="B1" i="4"/>
  <c r="O27" i="3"/>
  <c r="O26" i="3"/>
  <c r="Q17" i="1" l="1"/>
  <c r="M17" i="4" s="1"/>
  <c r="O15" i="1"/>
  <c r="O11" i="1"/>
  <c r="G3" i="1"/>
  <c r="F3" i="1"/>
  <c r="F3" i="4" s="1"/>
  <c r="H3" i="1"/>
  <c r="H3" i="4" s="1"/>
  <c r="O13" i="1"/>
  <c r="O14" i="1"/>
  <c r="O12" i="1"/>
  <c r="E13" i="1"/>
  <c r="F13" i="1"/>
  <c r="E14" i="1"/>
  <c r="F14" i="1"/>
  <c r="F12" i="1"/>
  <c r="E12" i="1"/>
  <c r="D13" i="1"/>
  <c r="D14" i="1"/>
  <c r="D12" i="1"/>
  <c r="A69" i="3"/>
  <c r="A68" i="3"/>
  <c r="G11" i="3" l="1"/>
  <c r="G3" i="4"/>
  <c r="F15" i="1"/>
  <c r="E15" i="1"/>
  <c r="F11" i="1"/>
  <c r="E11" i="1"/>
  <c r="L5" i="1"/>
  <c r="J5" i="4" s="1"/>
  <c r="L3" i="1"/>
  <c r="J3" i="4" s="1"/>
  <c r="Q18" i="1"/>
  <c r="M18" i="4" s="1"/>
  <c r="D15" i="1"/>
  <c r="J15" i="1"/>
  <c r="K15" i="1" s="1"/>
  <c r="I15" i="4" s="1"/>
  <c r="L11" i="4"/>
  <c r="J11" i="1"/>
  <c r="K11" i="1" s="1"/>
  <c r="I11" i="4" s="1"/>
  <c r="D11" i="1"/>
  <c r="L15" i="4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20" i="3"/>
  <c r="R21" i="3"/>
  <c r="R22" i="3"/>
  <c r="R23" i="3"/>
  <c r="M15" i="1" l="1"/>
  <c r="M11" i="1"/>
  <c r="E14" i="4"/>
  <c r="C14" i="4"/>
  <c r="C13" i="4"/>
  <c r="E12" i="4"/>
  <c r="C12" i="4"/>
  <c r="D8" i="4"/>
  <c r="D7" i="4"/>
  <c r="D6" i="4"/>
  <c r="D5" i="4"/>
  <c r="D4" i="4"/>
  <c r="D3" i="4"/>
  <c r="N11" i="1" l="1"/>
  <c r="J11" i="4"/>
  <c r="N15" i="1"/>
  <c r="J15" i="4"/>
  <c r="J14" i="1"/>
  <c r="J13" i="1"/>
  <c r="K13" i="1" s="1"/>
  <c r="M13" i="1" l="1"/>
  <c r="J13" i="4" s="1"/>
  <c r="I13" i="4"/>
  <c r="Q15" i="1"/>
  <c r="M15" i="4" s="1"/>
  <c r="K15" i="4"/>
  <c r="Q11" i="1"/>
  <c r="M11" i="4" s="1"/>
  <c r="K11" i="4"/>
  <c r="K14" i="1"/>
  <c r="N28" i="1"/>
  <c r="N25" i="1"/>
  <c r="M14" i="1" l="1"/>
  <c r="J14" i="4" s="1"/>
  <c r="I14" i="4"/>
  <c r="N13" i="1"/>
  <c r="K13" i="4" s="1"/>
  <c r="L8" i="1"/>
  <c r="Q13" i="1" l="1"/>
  <c r="M13" i="4" s="1"/>
  <c r="N14" i="1"/>
  <c r="K14" i="4" s="1"/>
  <c r="J12" i="1"/>
  <c r="K12" i="1" s="1"/>
  <c r="Q14" i="1" l="1"/>
  <c r="M14" i="4" s="1"/>
  <c r="M12" i="1"/>
  <c r="J12" i="4" s="1"/>
  <c r="I12" i="4"/>
  <c r="N12" i="1" l="1"/>
  <c r="K12" i="4" s="1"/>
  <c r="Q12" i="1" l="1"/>
  <c r="M12" i="4" s="1"/>
  <c r="Q21" i="1"/>
  <c r="Q22" i="1" l="1"/>
  <c r="M20" i="4"/>
  <c r="Q19" i="1"/>
  <c r="Q20" i="1" s="1"/>
  <c r="M19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Gerber Matthias</author>
  </authors>
  <commentList>
    <comment ref="F3" authorId="0" shapeId="0" xr:uid="{0869826B-D249-43A0-B0C0-31BE0DEB24B8}">
      <text>
        <r>
          <rPr>
            <b/>
            <sz val="9"/>
            <color indexed="81"/>
            <rFont val="Segoe UI"/>
            <family val="2"/>
          </rPr>
          <t>Gerber Matthias:</t>
        </r>
        <r>
          <rPr>
            <sz val="9"/>
            <color indexed="81"/>
            <rFont val="Segoe UI"/>
            <family val="2"/>
          </rPr>
          <t xml:space="preserve">
Average current in a bundle generated by different levels of PoE applications.</t>
        </r>
      </text>
    </comment>
    <comment ref="F5" authorId="0" shapeId="0" xr:uid="{A7A08DD9-D5D6-4241-9CA9-7489DAEED8B6}">
      <text>
        <r>
          <rPr>
            <b/>
            <sz val="9"/>
            <color indexed="81"/>
            <rFont val="Segoe UI"/>
            <family val="2"/>
          </rPr>
          <t>Gerber Matthias:</t>
        </r>
        <r>
          <rPr>
            <sz val="9"/>
            <color indexed="81"/>
            <rFont val="Segoe UI"/>
            <family val="2"/>
          </rPr>
          <t xml:space="preserve">
Definition whether cabling is:
- shielded:         /s 
- unshielded:    /u</t>
        </r>
      </text>
    </comment>
    <comment ref="C7" authorId="0" shapeId="0" xr:uid="{F105E82E-866F-420D-BBC9-B123AD51C8EA}">
      <text>
        <r>
          <rPr>
            <b/>
            <sz val="9"/>
            <color indexed="81"/>
            <rFont val="Segoe UI"/>
            <family val="2"/>
          </rPr>
          <t>Gerber Matthias:</t>
        </r>
        <r>
          <rPr>
            <sz val="9"/>
            <color indexed="81"/>
            <rFont val="Segoe UI"/>
            <family val="2"/>
          </rPr>
          <t xml:space="preserve">
AWG24: 1.2
AWG26: 1.5
AWG28/30: 2.0</t>
        </r>
      </text>
    </comment>
    <comment ref="C8" authorId="0" shapeId="0" xr:uid="{D4B55298-8F7D-49EA-95C4-09628A4754D5}">
      <text>
        <r>
          <rPr>
            <b/>
            <sz val="9"/>
            <color indexed="81"/>
            <rFont val="Segoe UI"/>
            <family val="2"/>
          </rPr>
          <t>Gerber Matthias:</t>
        </r>
        <r>
          <rPr>
            <sz val="9"/>
            <color indexed="81"/>
            <rFont val="Segoe UI"/>
            <family val="2"/>
          </rPr>
          <t xml:space="preserve">
Max. cable temperature range according to data sheet (typically 60°C)</t>
        </r>
      </text>
    </comment>
    <comment ref="F8" authorId="0" shapeId="0" xr:uid="{590A0DBE-B372-4B12-8236-20CE68D94343}">
      <text>
        <r>
          <rPr>
            <b/>
            <sz val="9"/>
            <color indexed="81"/>
            <rFont val="Segoe UI"/>
            <family val="2"/>
          </rPr>
          <t>Gerber Matthias:</t>
        </r>
        <r>
          <rPr>
            <sz val="9"/>
            <color indexed="81"/>
            <rFont val="Segoe UI"/>
            <family val="2"/>
          </rPr>
          <t xml:space="preserve">
The standards assume that all cabling types behave the same. 
The better cooling properties of shielded cables in a bundle are not considered.
With STP Prio: "Yes" the real temperature in a bundle are used for calculation
With STP Prio: "No" the temperature increase according the standard is used.
</t>
        </r>
      </text>
    </comment>
    <comment ref="H10" authorId="0" shapeId="0" xr:uid="{9EB0D4A4-2E7B-4F21-BDC8-8F2E09F7B48F}">
      <text>
        <r>
          <rPr>
            <b/>
            <sz val="9"/>
            <color indexed="81"/>
            <rFont val="Segoe UI"/>
            <family val="2"/>
          </rPr>
          <t>Gerber Matthias:</t>
        </r>
        <r>
          <rPr>
            <sz val="9"/>
            <color indexed="81"/>
            <rFont val="Segoe UI"/>
            <family val="2"/>
          </rPr>
          <t xml:space="preserve">
Number of cables in the conduit or bundle</t>
        </r>
      </text>
    </comment>
    <comment ref="I10" authorId="0" shapeId="0" xr:uid="{E7704D84-6C3C-48A0-8F7B-F0B05FAFE627}">
      <text>
        <r>
          <rPr>
            <sz val="9"/>
            <color indexed="81"/>
            <rFont val="Segoe UI"/>
            <family val="2"/>
          </rPr>
          <t xml:space="preserve">Tray size in mm, if present.
Width of cable bundle in rectangular arangement.
For circular bundels or tube conduit: 0 mm
</t>
        </r>
      </text>
    </comment>
    <comment ref="J10" authorId="0" shapeId="0" xr:uid="{4F3F0E06-60B4-42BA-9749-5138855F2B1E}">
      <text>
        <r>
          <rPr>
            <b/>
            <sz val="9"/>
            <color indexed="81"/>
            <rFont val="Segoe UI"/>
            <family val="2"/>
          </rPr>
          <t>Gerber Matthias:</t>
        </r>
        <r>
          <rPr>
            <sz val="9"/>
            <color indexed="81"/>
            <rFont val="Segoe UI"/>
            <family val="2"/>
          </rPr>
          <t xml:space="preserve">
The standard calculates round bundles only.
With rectangular cable arrangement the temperature increase will be reduced based on width to height ratio</t>
        </r>
      </text>
    </comment>
    <comment ref="K10" authorId="0" shapeId="0" xr:uid="{B5CABD86-477B-4E44-97F1-8E18107C34C4}">
      <text>
        <r>
          <rPr>
            <b/>
            <sz val="9"/>
            <color indexed="81"/>
            <rFont val="Segoe UI"/>
            <family val="2"/>
          </rPr>
          <t>Gerber Matthias:</t>
        </r>
        <r>
          <rPr>
            <sz val="9"/>
            <color indexed="81"/>
            <rFont val="Segoe UI"/>
            <family val="2"/>
          </rPr>
          <t xml:space="preserve">
This is the reduction factor for temperature increase based on width to height ratio</t>
        </r>
      </text>
    </comment>
    <comment ref="L10" authorId="0" shapeId="0" xr:uid="{FC75775F-9657-4A70-AFF8-41AC64C64654}">
      <text>
        <r>
          <rPr>
            <b/>
            <sz val="9"/>
            <color indexed="81"/>
            <rFont val="Tahoma"/>
            <family val="2"/>
          </rPr>
          <t>Installation Condition:</t>
        </r>
        <r>
          <rPr>
            <sz val="9"/>
            <color indexed="81"/>
            <rFont val="Tahoma"/>
            <family val="2"/>
          </rPr>
          <t xml:space="preserve">
E/F: Ventilated
C: Open Unperforated Tray
B: Trunking / Conduit
A: Insulation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Gerber Matthias</author>
  </authors>
  <commentList>
    <comment ref="N25" authorId="0" shapeId="0" xr:uid="{2CC4B107-A1A8-4D1E-986C-E39C6394ECD4}">
      <text>
        <r>
          <rPr>
            <b/>
            <sz val="9"/>
            <color indexed="81"/>
            <rFont val="Segoe UI"/>
            <family val="2"/>
          </rPr>
          <t>Gerber Matthias:</t>
        </r>
        <r>
          <rPr>
            <sz val="9"/>
            <color indexed="81"/>
            <rFont val="Segoe UI"/>
            <family val="2"/>
          </rPr>
          <t xml:space="preserve">
Equals 3.2 in 14763-2 and 50174-2</t>
        </r>
      </text>
    </comment>
  </commentList>
</comments>
</file>

<file path=xl/sharedStrings.xml><?xml version="1.0" encoding="utf-8"?>
<sst xmlns="http://schemas.openxmlformats.org/spreadsheetml/2006/main" count="302" uniqueCount="169">
  <si>
    <t>Cat5e/u (AWG24)</t>
  </si>
  <si>
    <t>Cat5e/s (AWG24)</t>
  </si>
  <si>
    <t>Yellow fields can be modified</t>
  </si>
  <si>
    <t>Cable type</t>
  </si>
  <si>
    <t>Ambient temperature (°C)</t>
  </si>
  <si>
    <t>Installation cable diameter (mm)</t>
  </si>
  <si>
    <t>Attenuation reserve of cable for app. Class</t>
  </si>
  <si>
    <t>Cat7A/s (AWG22)</t>
  </si>
  <si>
    <t>Cat6/u (AWG23)</t>
  </si>
  <si>
    <t>Cable coefficient</t>
  </si>
  <si>
    <t>Attenuation coefficient</t>
  </si>
  <si>
    <t>A</t>
  </si>
  <si>
    <t>Electrical length</t>
  </si>
  <si>
    <t>Cable multiplicator</t>
  </si>
  <si>
    <t>PoE-Application:</t>
  </si>
  <si>
    <t>Class:</t>
  </si>
  <si>
    <t>Application</t>
  </si>
  <si>
    <t>Class</t>
  </si>
  <si>
    <t>D</t>
  </si>
  <si>
    <t>E</t>
  </si>
  <si>
    <t>EA</t>
  </si>
  <si>
    <t>F</t>
  </si>
  <si>
    <t>FA</t>
  </si>
  <si>
    <r>
      <t>E</t>
    </r>
    <r>
      <rPr>
        <sz val="8"/>
        <rFont val="Arial"/>
        <family val="2"/>
      </rPr>
      <t>A</t>
    </r>
  </si>
  <si>
    <r>
      <t>F</t>
    </r>
    <r>
      <rPr>
        <sz val="8"/>
        <rFont val="Arial"/>
        <family val="2"/>
      </rPr>
      <t>A</t>
    </r>
  </si>
  <si>
    <t xml:space="preserve">Cat6A/u (AWG23) </t>
  </si>
  <si>
    <t>Cat6A/u (AWG23) WARP</t>
  </si>
  <si>
    <t>Diameter</t>
  </si>
  <si>
    <t>Resistance</t>
  </si>
  <si>
    <t>Connectors in Channel</t>
  </si>
  <si>
    <t>Connectors</t>
  </si>
  <si>
    <t>NA</t>
  </si>
  <si>
    <t>Attenuation</t>
  </si>
  <si>
    <t>Total patchcord length:</t>
  </si>
  <si>
    <t>m</t>
  </si>
  <si>
    <t>Patchcord coefficient:</t>
  </si>
  <si>
    <t>Patchcord</t>
  </si>
  <si>
    <t>Standard channel length:</t>
  </si>
  <si>
    <t>Max. cable temprature:</t>
  </si>
  <si>
    <t>°C</t>
  </si>
  <si>
    <t>Link segment no.</t>
  </si>
  <si>
    <t>W</t>
  </si>
  <si>
    <t>Power:</t>
  </si>
  <si>
    <t>Cat6A/s Bundle (AWG23)</t>
  </si>
  <si>
    <t>Cat6A/u Bundle (AWG23) WARP</t>
  </si>
  <si>
    <t>Power</t>
  </si>
  <si>
    <t/>
  </si>
  <si>
    <t>Note:</t>
  </si>
  <si>
    <t>Cat.5e</t>
  </si>
  <si>
    <t>Cat.6</t>
  </si>
  <si>
    <t>Cat.6 or Cat.6A EL</t>
  </si>
  <si>
    <t>Cat.5e or Cat.6</t>
  </si>
  <si>
    <t>Cat.6A EL or Cat.6A</t>
  </si>
  <si>
    <t>/s</t>
  </si>
  <si>
    <t>/u</t>
  </si>
  <si>
    <r>
      <t>Recommended connectivity:</t>
    </r>
    <r>
      <rPr>
        <sz val="10"/>
        <rFont val="Arial"/>
        <family val="2"/>
      </rPr>
      <t/>
    </r>
  </si>
  <si>
    <t>Picture ref.</t>
  </si>
  <si>
    <r>
      <t>R&amp;M</t>
    </r>
    <r>
      <rPr>
        <i/>
        <sz val="10"/>
        <rFont val="Arial"/>
        <family val="2"/>
      </rPr>
      <t>freenet</t>
    </r>
    <r>
      <rPr>
        <sz val="10"/>
        <rFont val="Arial"/>
        <family val="2"/>
      </rPr>
      <t xml:space="preserve"> RJ45 Module:</t>
    </r>
  </si>
  <si>
    <t>Cat.6A</t>
  </si>
  <si>
    <r>
      <t>R&amp;M</t>
    </r>
    <r>
      <rPr>
        <i/>
        <sz val="10"/>
        <rFont val="Arial"/>
        <family val="2"/>
      </rPr>
      <t>freenet</t>
    </r>
    <r>
      <rPr>
        <sz val="10"/>
        <rFont val="Arial"/>
        <family val="2"/>
      </rPr>
      <t xml:space="preserve"> RJ45 Patchcord with IDC:</t>
    </r>
  </si>
  <si>
    <t>Planned by:</t>
  </si>
  <si>
    <t>Attenuation factor 
(% pro ºC)</t>
  </si>
  <si>
    <t>Number of cables</t>
  </si>
  <si>
    <t>Planned segment length 
(m)</t>
  </si>
  <si>
    <t>Conduit width 
(mm)</t>
  </si>
  <si>
    <t>Bundle  reduction factor</t>
  </si>
  <si>
    <t>Installation condition</t>
  </si>
  <si>
    <t>Electrical Channel length @ 20°C  (m):</t>
  </si>
  <si>
    <t>Tglobal   (°C)</t>
  </si>
  <si>
    <t>Planned Channel length  (m)</t>
  </si>
  <si>
    <t xml:space="preserve">Permanent Link length calculator according to ISO/IEC 14763-2 and EN 50174-2: </t>
  </si>
  <si>
    <t>RP1</t>
  </si>
  <si>
    <t>RP2</t>
  </si>
  <si>
    <t>RP3</t>
  </si>
  <si>
    <t>&lt; 30</t>
  </si>
  <si>
    <t>30-80</t>
  </si>
  <si>
    <t>90</t>
  </si>
  <si>
    <t>Text</t>
  </si>
  <si>
    <t>Number of PoE devices allowed is restricted based on device PoE type. Limited Temperature increase expected.</t>
  </si>
  <si>
    <t>Number of PoE devices allowed is restricted based on device PoE type. No Temperature increase expected.</t>
  </si>
  <si>
    <t>E/F: Ventilated</t>
  </si>
  <si>
    <t>A: Insulation</t>
  </si>
  <si>
    <r>
      <t xml:space="preserve">I </t>
    </r>
    <r>
      <rPr>
        <i/>
        <sz val="8"/>
        <rFont val="Arial"/>
        <family val="2"/>
      </rPr>
      <t>average</t>
    </r>
    <r>
      <rPr>
        <sz val="10"/>
        <rFont val="Arial"/>
        <family val="2"/>
      </rPr>
      <t>:</t>
    </r>
  </si>
  <si>
    <t>PoE-Application Category:</t>
  </si>
  <si>
    <t>Ambient temp. 
(°C)</t>
  </si>
  <si>
    <t>Allowed Channel length @ T global (m)</t>
  </si>
  <si>
    <t>Cable /u</t>
  </si>
  <si>
    <t>Cable /s</t>
  </si>
  <si>
    <t>Class D /u (AWG26)</t>
  </si>
  <si>
    <t>Class E /u (AWG26)</t>
  </si>
  <si>
    <t>Class EA /u (AWG26)</t>
  </si>
  <si>
    <t>Cat6/u (AWG24)</t>
  </si>
  <si>
    <t>Cat5e/u (AWG22)</t>
  </si>
  <si>
    <t>Cat6/s (AWG23)</t>
  </si>
  <si>
    <t>Cat6A/s (AWG23)</t>
  </si>
  <si>
    <t>Cat7/s (AWG23)</t>
  </si>
  <si>
    <t>Cat7/s (AWG22)</t>
  </si>
  <si>
    <t>Class EA /s (AWG26, 60m)</t>
  </si>
  <si>
    <t>Class EA /s (AWG22, 105m)</t>
  </si>
  <si>
    <t>EMC Protection</t>
  </si>
  <si>
    <t>Cat6A/u (AWG22) WARP</t>
  </si>
  <si>
    <t>Class EA Bundle (AWG26)</t>
  </si>
  <si>
    <t>Shielded correction coefficient</t>
  </si>
  <si>
    <t>Presets!c61</t>
  </si>
  <si>
    <t>Presets!d61</t>
  </si>
  <si>
    <t>Presets!i61</t>
  </si>
  <si>
    <t>Presets!j61</t>
  </si>
  <si>
    <t>Presets!c62</t>
  </si>
  <si>
    <t>Presets!d62</t>
  </si>
  <si>
    <t>Presets!i62</t>
  </si>
  <si>
    <t>Presets!j62</t>
  </si>
  <si>
    <t>Presets!c63</t>
  </si>
  <si>
    <t>Presets!d63</t>
  </si>
  <si>
    <t>Presets!i63</t>
  </si>
  <si>
    <t>Presets!j63</t>
  </si>
  <si>
    <t>Presets!c64</t>
  </si>
  <si>
    <t>Presets!d64</t>
  </si>
  <si>
    <t>Presets!i64</t>
  </si>
  <si>
    <t>Presets!j64</t>
  </si>
  <si>
    <t>Presets!c65</t>
  </si>
  <si>
    <t>Presets!d65</t>
  </si>
  <si>
    <t>Presets!i65</t>
  </si>
  <si>
    <t>Presets!j65</t>
  </si>
  <si>
    <t>Shielding:</t>
  </si>
  <si>
    <t>STP prio:</t>
  </si>
  <si>
    <t>Yes</t>
  </si>
  <si>
    <t>No</t>
  </si>
  <si>
    <t>Total temp. (ambient + increase) 
(°C)</t>
  </si>
  <si>
    <t>Patch Cord at Patch Panel side</t>
  </si>
  <si>
    <t>Patch Cord at TO side</t>
  </si>
  <si>
    <t>Cu (F/UTP) = 5</t>
  </si>
  <si>
    <t>Cu (F/UTP) = 3</t>
  </si>
  <si>
    <t>Cu (S/FTP) = 2.75</t>
  </si>
  <si>
    <t>Bundle to Ambient Factor</t>
  </si>
  <si>
    <t>Formula factor 29125</t>
  </si>
  <si>
    <t>J26</t>
  </si>
  <si>
    <t>PC1</t>
  </si>
  <si>
    <t>PC2</t>
  </si>
  <si>
    <t xml:space="preserve">Electrical Channel length reserve (m): </t>
  </si>
  <si>
    <t>Planned PL length  (m)</t>
  </si>
  <si>
    <t>STP Prio:</t>
  </si>
  <si>
    <t>No restrictions on the use of 4PPoE.
Temperature increase expected.</t>
  </si>
  <si>
    <t>C: Open Tray, unperforated</t>
  </si>
  <si>
    <t>B: Closed Trunking/Conduit</t>
  </si>
  <si>
    <t>Applications in a bundle:</t>
  </si>
  <si>
    <t>No PoE</t>
  </si>
  <si>
    <t>Current</t>
  </si>
  <si>
    <t>PoE Type 1 (PoE)</t>
  </si>
  <si>
    <t>PoE Type 2 (PoEP)</t>
  </si>
  <si>
    <t>PoE Type 3 (4PPoE)</t>
  </si>
  <si>
    <t>PoE Type 4 (4PPoE)</t>
  </si>
  <si>
    <t>IEEE Standard</t>
  </si>
  <si>
    <t>802.3bt</t>
  </si>
  <si>
    <t>802.3at</t>
  </si>
  <si>
    <t>802.3af</t>
  </si>
  <si>
    <t>-</t>
  </si>
  <si>
    <t>Energized pairs</t>
  </si>
  <si>
    <t>Percentage in bundle</t>
  </si>
  <si>
    <t>unused</t>
  </si>
  <si>
    <t>Remote Power Category Calculator</t>
  </si>
  <si>
    <t>Remote Power Category</t>
  </si>
  <si>
    <t>Cable resistance (Ω/100m)</t>
  </si>
  <si>
    <t>Width to Height Ratio</t>
  </si>
  <si>
    <t>Contain-ment width (mm)</t>
  </si>
  <si>
    <t>Temp. increase  bundle 
(°C)</t>
  </si>
  <si>
    <t>Normalized electrical length at 
20 °C (m)</t>
  </si>
  <si>
    <r>
      <t>I</t>
    </r>
    <r>
      <rPr>
        <vertAlign val="subscript"/>
        <sz val="8"/>
        <rFont val="Arial"/>
        <family val="2"/>
      </rPr>
      <t>c</t>
    </r>
    <r>
      <rPr>
        <sz val="10"/>
        <rFont val="Arial"/>
      </rPr>
      <t xml:space="preserve"> average</t>
    </r>
  </si>
  <si>
    <t>Specific values are based on R&amp;Mfreenet cable assortment and formulas have been verified with it.       
No guarantee can be made for other manufacturer's products.</t>
  </si>
  <si>
    <t>Project / System - Identification: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</si>
</sst>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0.0"/>
    <numFmt numFmtId="165" formatCode="_ * #,##0.0_ ;_ * \-#,##0.0_ ;_ * &quot;-&quot;??_ ;_ @_ "/>
    <numFmt numFmtId="166" formatCode="_ * #,##0.000_ ;_ * \-#,##0.000_ ;_ * &quot;-&quot;??_ ;_ @_ "/>
    <numFmt numFmtId="167" formatCode="0.000"/>
    <numFmt numFmtId="168" formatCode="_ * #,##0_ ;_ * \-#,##0_ ;_ * &quot;-&quot;??_ ;_ @_ "/>
    <numFmt numFmtId="169" formatCode="0.0000"/>
    <numFmt numFmtId="170" formatCode="_ * #,##0.0000_ ;_ * \-#,##0.0000_ ;_ * &quot;-&quot;??_ ;_ @_ "/>
  </numFmts>
  <fonts count="19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i/>
      <u/>
      <sz val="10"/>
      <name val="Arial"/>
      <family val="2"/>
    </font>
    <font>
      <b/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6"/>
      <name val="Arial"/>
      <family val="2"/>
    </font>
    <font>
      <vertAlign val="subscript"/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FFF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FF99"/>
      </right>
      <top style="thin">
        <color indexed="64"/>
      </top>
      <bottom style="thin">
        <color rgb="FFFFFF99"/>
      </bottom>
      <diagonal/>
    </border>
    <border>
      <left style="thin">
        <color indexed="64"/>
      </left>
      <right style="thin">
        <color rgb="FFFFFF99"/>
      </right>
      <top style="thin">
        <color rgb="FFFFFF99"/>
      </top>
      <bottom style="thin">
        <color rgb="FFFFFF9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277">
    <xf numFmtId="0" fontId="0" fillId="0" borderId="0" xfId="0"/>
    <xf numFmtId="0" fontId="0" fillId="0" borderId="0" xfId="0" applyBorder="1" applyProtection="1"/>
    <xf numFmtId="164" fontId="2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2" fillId="3" borderId="1" xfId="0" applyFont="1" applyFill="1" applyBorder="1" applyAlignment="1" applyProtection="1">
      <alignment horizontal="right" vertical="center"/>
      <protection locked="0"/>
    </xf>
    <xf numFmtId="0" fontId="2" fillId="3" borderId="1" xfId="0" applyFont="1" applyFill="1" applyBorder="1" applyAlignment="1" applyProtection="1">
      <alignment vertical="center"/>
      <protection locked="0"/>
    </xf>
    <xf numFmtId="1" fontId="2" fillId="3" borderId="1" xfId="0" applyNumberFormat="1" applyFont="1" applyFill="1" applyBorder="1" applyAlignment="1" applyProtection="1">
      <alignment vertical="center" wrapTex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2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/>
    <xf numFmtId="0" fontId="0" fillId="0" borderId="0" xfId="0" applyAlignment="1" applyProtection="1">
      <alignment wrapText="1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2" fillId="0" borderId="0" xfId="0" applyFont="1" applyAlignment="1" applyProtection="1">
      <alignment horizontal="right" vertical="center" wrapText="1"/>
    </xf>
    <xf numFmtId="1" fontId="2" fillId="4" borderId="1" xfId="0" applyNumberFormat="1" applyFont="1" applyFill="1" applyBorder="1" applyAlignment="1" applyProtection="1">
      <alignment vertical="center" wrapText="1"/>
    </xf>
    <xf numFmtId="167" fontId="2" fillId="0" borderId="0" xfId="0" applyNumberFormat="1" applyFont="1" applyFill="1" applyBorder="1" applyAlignment="1" applyProtection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" fontId="2" fillId="0" borderId="0" xfId="0" applyNumberFormat="1" applyFont="1" applyFill="1" applyBorder="1" applyAlignment="1" applyProtection="1">
      <alignment wrapText="1"/>
    </xf>
    <xf numFmtId="0" fontId="0" fillId="0" borderId="0" xfId="0" applyFill="1" applyProtection="1"/>
    <xf numFmtId="0" fontId="2" fillId="0" borderId="0" xfId="0" applyFont="1" applyAlignment="1" applyProtection="1">
      <alignment horizontal="right" vertical="center"/>
    </xf>
    <xf numFmtId="167" fontId="2" fillId="0" borderId="0" xfId="0" applyNumberFormat="1" applyFont="1" applyFill="1" applyBorder="1" applyAlignment="1" applyProtection="1">
      <alignment wrapText="1"/>
    </xf>
    <xf numFmtId="0" fontId="2" fillId="4" borderId="1" xfId="0" applyFont="1" applyFill="1" applyBorder="1" applyAlignment="1" applyProtection="1">
      <alignment vertical="center" wrapText="1"/>
    </xf>
    <xf numFmtId="0" fontId="0" fillId="0" borderId="0" xfId="0" applyFill="1" applyBorder="1" applyProtection="1"/>
    <xf numFmtId="0" fontId="1" fillId="0" borderId="1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top" wrapText="1"/>
    </xf>
    <xf numFmtId="0" fontId="4" fillId="0" borderId="0" xfId="0" quotePrefix="1" applyFont="1" applyFill="1" applyBorder="1" applyAlignment="1" applyProtection="1">
      <alignment vertical="top" wrapText="1"/>
    </xf>
    <xf numFmtId="0" fontId="2" fillId="4" borderId="1" xfId="0" applyFont="1" applyFill="1" applyBorder="1" applyAlignment="1" applyProtection="1">
      <alignment vertical="center"/>
    </xf>
    <xf numFmtId="2" fontId="2" fillId="4" borderId="1" xfId="0" applyNumberFormat="1" applyFont="1" applyFill="1" applyBorder="1" applyAlignment="1" applyProtection="1">
      <alignment horizontal="center" vertical="center" wrapText="1"/>
    </xf>
    <xf numFmtId="164" fontId="2" fillId="4" borderId="1" xfId="0" applyNumberFormat="1" applyFont="1" applyFill="1" applyBorder="1" applyAlignment="1" applyProtection="1">
      <alignment horizontal="center" vertical="center" wrapText="1"/>
    </xf>
    <xf numFmtId="164" fontId="2" fillId="6" borderId="1" xfId="0" applyNumberFormat="1" applyFont="1" applyFill="1" applyBorder="1" applyAlignment="1" applyProtection="1">
      <alignment horizontal="center" vertical="center" wrapText="1"/>
    </xf>
    <xf numFmtId="1" fontId="2" fillId="5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wrapText="1"/>
    </xf>
    <xf numFmtId="2" fontId="4" fillId="0" borderId="0" xfId="0" quotePrefix="1" applyNumberFormat="1" applyFont="1" applyFill="1" applyBorder="1" applyAlignment="1" applyProtection="1">
      <alignment vertical="top" wrapText="1"/>
    </xf>
    <xf numFmtId="164" fontId="0" fillId="0" borderId="0" xfId="0" applyNumberFormat="1" applyProtection="1"/>
    <xf numFmtId="2" fontId="0" fillId="0" borderId="0" xfId="0" applyNumberFormat="1" applyProtection="1"/>
    <xf numFmtId="0" fontId="2" fillId="0" borderId="1" xfId="0" applyFont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wrapText="1"/>
    </xf>
    <xf numFmtId="1" fontId="2" fillId="0" borderId="0" xfId="0" applyNumberFormat="1" applyFont="1" applyFill="1" applyBorder="1" applyAlignment="1" applyProtection="1">
      <alignment horizontal="center" wrapText="1"/>
    </xf>
    <xf numFmtId="0" fontId="2" fillId="0" borderId="0" xfId="0" applyFont="1" applyFill="1" applyBorder="1" applyAlignment="1" applyProtection="1">
      <alignment horizontal="center"/>
    </xf>
    <xf numFmtId="2" fontId="2" fillId="0" borderId="0" xfId="0" applyNumberFormat="1" applyFont="1" applyFill="1" applyBorder="1" applyAlignment="1" applyProtection="1">
      <alignment horizontal="center" wrapText="1"/>
    </xf>
    <xf numFmtId="169" fontId="2" fillId="0" borderId="0" xfId="0" applyNumberFormat="1" applyFont="1" applyFill="1" applyBorder="1" applyAlignment="1" applyProtection="1">
      <alignment horizontal="center" wrapText="1"/>
    </xf>
    <xf numFmtId="1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 wrapText="1"/>
    </xf>
    <xf numFmtId="164" fontId="2" fillId="0" borderId="0" xfId="0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/>
    </xf>
    <xf numFmtId="2" fontId="2" fillId="0" borderId="0" xfId="0" applyNumberFormat="1" applyFont="1" applyFill="1" applyBorder="1" applyAlignment="1" applyProtection="1">
      <alignment horizontal="center" vertical="center" wrapText="1"/>
    </xf>
    <xf numFmtId="164" fontId="2" fillId="0" borderId="16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vertical="center"/>
    </xf>
    <xf numFmtId="164" fontId="2" fillId="0" borderId="15" xfId="0" applyNumberFormat="1" applyFont="1" applyFill="1" applyBorder="1" applyAlignment="1" applyProtection="1">
      <alignment horizontal="center" vertical="center" wrapText="1"/>
    </xf>
    <xf numFmtId="164" fontId="2" fillId="6" borderId="14" xfId="0" applyNumberFormat="1" applyFont="1" applyFill="1" applyBorder="1" applyAlignment="1" applyProtection="1">
      <alignment horizontal="center" vertical="center" wrapText="1"/>
    </xf>
    <xf numFmtId="2" fontId="2" fillId="0" borderId="0" xfId="0" applyNumberFormat="1" applyFont="1" applyFill="1" applyBorder="1" applyAlignment="1" applyProtection="1">
      <alignment wrapText="1"/>
    </xf>
    <xf numFmtId="164" fontId="2" fillId="5" borderId="16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Protection="1"/>
    <xf numFmtId="164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Fill="1" applyBorder="1" applyProtection="1"/>
    <xf numFmtId="2" fontId="1" fillId="0" borderId="0" xfId="0" applyNumberFormat="1" applyFont="1" applyBorder="1" applyAlignment="1" applyProtection="1">
      <alignment wrapText="1"/>
    </xf>
    <xf numFmtId="0" fontId="8" fillId="0" borderId="0" xfId="0" applyFont="1" applyFill="1" applyAlignment="1" applyProtection="1">
      <alignment vertical="top"/>
    </xf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Alignment="1" applyProtection="1"/>
    <xf numFmtId="0" fontId="2" fillId="0" borderId="0" xfId="0" applyFont="1" applyAlignment="1" applyProtection="1"/>
    <xf numFmtId="0" fontId="2" fillId="0" borderId="0" xfId="0" applyFont="1" applyProtection="1"/>
    <xf numFmtId="0" fontId="8" fillId="0" borderId="0" xfId="0" applyFont="1" applyFill="1" applyProtection="1"/>
    <xf numFmtId="0" fontId="8" fillId="0" borderId="0" xfId="0" applyFont="1" applyProtection="1"/>
    <xf numFmtId="164" fontId="1" fillId="0" borderId="0" xfId="0" applyNumberFormat="1" applyFont="1" applyFill="1" applyBorder="1" applyAlignment="1" applyProtection="1">
      <alignment wrapText="1"/>
    </xf>
    <xf numFmtId="0" fontId="1" fillId="0" borderId="0" xfId="0" applyFont="1" applyFill="1" applyBorder="1" applyAlignment="1" applyProtection="1">
      <alignment wrapText="1"/>
    </xf>
    <xf numFmtId="0" fontId="10" fillId="0" borderId="5" xfId="0" applyFont="1" applyBorder="1" applyProtection="1"/>
    <xf numFmtId="0" fontId="0" fillId="0" borderId="6" xfId="0" applyBorder="1" applyProtection="1"/>
    <xf numFmtId="0" fontId="0" fillId="0" borderId="7" xfId="0" applyBorder="1" applyProtection="1"/>
    <xf numFmtId="0" fontId="0" fillId="0" borderId="8" xfId="0" applyBorder="1" applyProtection="1"/>
    <xf numFmtId="0" fontId="0" fillId="0" borderId="9" xfId="0" applyBorder="1" applyProtection="1"/>
    <xf numFmtId="0" fontId="11" fillId="0" borderId="0" xfId="0" applyFont="1" applyAlignment="1" applyProtection="1">
      <alignment vertical="top"/>
    </xf>
    <xf numFmtId="0" fontId="0" fillId="0" borderId="0" xfId="0" applyFill="1" applyBorder="1" applyAlignment="1" applyProtection="1">
      <alignment wrapText="1"/>
    </xf>
    <xf numFmtId="0" fontId="11" fillId="0" borderId="0" xfId="0" applyFont="1" applyProtection="1"/>
    <xf numFmtId="0" fontId="1" fillId="0" borderId="0" xfId="0" applyFont="1" applyFill="1" applyBorder="1" applyAlignment="1" applyProtection="1">
      <alignment vertical="top"/>
    </xf>
    <xf numFmtId="0" fontId="0" fillId="0" borderId="0" xfId="0" applyFill="1" applyAlignment="1" applyProtection="1">
      <alignment wrapText="1"/>
    </xf>
    <xf numFmtId="1" fontId="0" fillId="0" borderId="0" xfId="0" applyNumberFormat="1" applyFill="1" applyProtection="1"/>
    <xf numFmtId="164" fontId="0" fillId="0" borderId="0" xfId="0" applyNumberFormat="1" applyFill="1" applyProtection="1"/>
    <xf numFmtId="0" fontId="3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horizontal="left" vertical="center" wrapText="1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164" fontId="2" fillId="0" borderId="0" xfId="0" applyNumberFormat="1" applyFont="1" applyFill="1" applyBorder="1" applyAlignment="1" applyProtection="1">
      <alignment horizontal="right" vertical="center" wrapText="1"/>
    </xf>
    <xf numFmtId="0" fontId="9" fillId="0" borderId="0" xfId="0" applyFont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164" fontId="2" fillId="0" borderId="0" xfId="0" applyNumberFormat="1" applyFont="1" applyFill="1" applyAlignment="1" applyProtection="1">
      <alignment horizontal="left" vertical="center" wrapText="1"/>
    </xf>
    <xf numFmtId="0" fontId="0" fillId="0" borderId="0" xfId="0" applyFill="1" applyBorder="1" applyAlignment="1" applyProtection="1">
      <alignment horizontal="right" vertical="center" wrapText="1"/>
    </xf>
    <xf numFmtId="0" fontId="0" fillId="0" borderId="0" xfId="0" applyFill="1" applyBorder="1" applyAlignment="1" applyProtection="1">
      <alignment horizontal="left" vertical="center" wrapText="1"/>
    </xf>
    <xf numFmtId="0" fontId="2" fillId="0" borderId="0" xfId="0" applyFont="1" applyFill="1" applyAlignment="1" applyProtection="1">
      <alignment horizontal="left" vertical="center"/>
    </xf>
    <xf numFmtId="167" fontId="2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Fill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 wrapText="1"/>
    </xf>
    <xf numFmtId="1" fontId="2" fillId="0" borderId="0" xfId="0" applyNumberFormat="1" applyFont="1" applyFill="1" applyBorder="1" applyAlignment="1" applyProtection="1">
      <alignment horizontal="right" vertical="center" wrapText="1"/>
    </xf>
    <xf numFmtId="0" fontId="8" fillId="0" borderId="0" xfId="0" applyFont="1" applyAlignment="1" applyProtection="1">
      <alignment horizontal="left" vertical="center"/>
    </xf>
    <xf numFmtId="1" fontId="1" fillId="0" borderId="1" xfId="0" applyNumberFormat="1" applyFont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Border="1" applyAlignment="1" applyProtection="1">
      <alignment horizontal="center" vertical="center" wrapText="1"/>
    </xf>
    <xf numFmtId="1" fontId="2" fillId="8" borderId="1" xfId="0" applyNumberFormat="1" applyFont="1" applyFill="1" applyBorder="1" applyAlignment="1" applyProtection="1">
      <alignment horizontal="center" vertical="center" wrapText="1"/>
    </xf>
    <xf numFmtId="1" fontId="2" fillId="7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 wrapText="1"/>
    </xf>
    <xf numFmtId="0" fontId="4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164" fontId="2" fillId="7" borderId="16" xfId="0" applyNumberFormat="1" applyFont="1" applyFill="1" applyBorder="1" applyAlignment="1" applyProtection="1">
      <alignment horizontal="center" vertical="center"/>
    </xf>
    <xf numFmtId="164" fontId="2" fillId="0" borderId="13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10" fillId="0" borderId="0" xfId="0" applyFont="1" applyBorder="1" applyProtection="1"/>
    <xf numFmtId="0" fontId="2" fillId="0" borderId="0" xfId="0" applyFont="1" applyBorder="1" applyAlignment="1" applyProtection="1">
      <alignment horizontal="left"/>
    </xf>
    <xf numFmtId="164" fontId="2" fillId="0" borderId="1" xfId="0" applyNumberFormat="1" applyFont="1" applyBorder="1" applyAlignment="1" applyProtection="1">
      <alignment horizontal="center" vertical="center" wrapText="1"/>
    </xf>
    <xf numFmtId="164" fontId="2" fillId="8" borderId="1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Protection="1"/>
    <xf numFmtId="0" fontId="0" fillId="0" borderId="1" xfId="0" applyBorder="1" applyAlignment="1" applyProtection="1">
      <alignment vertical="center" wrapText="1"/>
    </xf>
    <xf numFmtId="0" fontId="0" fillId="0" borderId="1" xfId="0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vertical="center"/>
    </xf>
    <xf numFmtId="0" fontId="0" fillId="0" borderId="1" xfId="0" quotePrefix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 vertical="center"/>
    </xf>
    <xf numFmtId="1" fontId="0" fillId="8" borderId="1" xfId="0" applyNumberFormat="1" applyFill="1" applyBorder="1" applyAlignment="1" applyProtection="1">
      <alignment horizontal="center" vertical="center"/>
    </xf>
    <xf numFmtId="9" fontId="0" fillId="0" borderId="1" xfId="2" applyFont="1" applyBorder="1" applyAlignment="1" applyProtection="1">
      <alignment horizontal="center" vertical="center"/>
    </xf>
    <xf numFmtId="9" fontId="0" fillId="0" borderId="0" xfId="2" applyFont="1" applyFill="1" applyAlignment="1" applyProtection="1">
      <alignment horizontal="center" vertical="center"/>
    </xf>
    <xf numFmtId="167" fontId="0" fillId="9" borderId="1" xfId="0" applyNumberFormat="1" applyFill="1" applyBorder="1" applyAlignment="1" applyProtection="1">
      <alignment horizontal="center" vertical="center"/>
    </xf>
    <xf numFmtId="0" fontId="0" fillId="5" borderId="1" xfId="0" applyFill="1" applyBorder="1" applyAlignment="1" applyProtection="1">
      <alignment horizontal="center" vertical="center"/>
    </xf>
    <xf numFmtId="167" fontId="0" fillId="8" borderId="1" xfId="0" applyNumberForma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9" fontId="0" fillId="0" borderId="0" xfId="0" applyNumberFormat="1" applyProtection="1"/>
    <xf numFmtId="9" fontId="0" fillId="0" borderId="0" xfId="0" applyNumberFormat="1" applyFill="1" applyProtection="1"/>
    <xf numFmtId="9" fontId="0" fillId="3" borderId="1" xfId="2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wrapText="1"/>
    </xf>
    <xf numFmtId="0" fontId="8" fillId="0" borderId="0" xfId="0" applyFont="1" applyAlignment="1" applyProtection="1">
      <alignment vertical="center" wrapText="1"/>
    </xf>
    <xf numFmtId="0" fontId="2" fillId="0" borderId="0" xfId="0" applyFont="1" applyFill="1" applyProtection="1"/>
    <xf numFmtId="0" fontId="2" fillId="0" borderId="1" xfId="0" applyFont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top" wrapText="1"/>
    </xf>
    <xf numFmtId="0" fontId="2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/>
    </xf>
    <xf numFmtId="0" fontId="2" fillId="10" borderId="0" xfId="0" applyFont="1" applyFill="1" applyBorder="1" applyAlignment="1" applyProtection="1">
      <alignment vertical="center"/>
    </xf>
    <xf numFmtId="0" fontId="8" fillId="3" borderId="1" xfId="0" applyFont="1" applyFill="1" applyBorder="1" applyAlignment="1" applyProtection="1">
      <alignment vertical="center"/>
    </xf>
    <xf numFmtId="0" fontId="0" fillId="0" borderId="0" xfId="0" applyBorder="1" applyAlignment="1" applyProtection="1">
      <alignment horizontal="center"/>
    </xf>
    <xf numFmtId="0" fontId="2" fillId="0" borderId="1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1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7" fontId="2" fillId="0" borderId="0" xfId="0" applyNumberFormat="1" applyFont="1" applyFill="1" applyAlignment="1" applyProtection="1">
      <alignment vertical="center" wrapText="1"/>
      <protection locked="0"/>
    </xf>
    <xf numFmtId="0" fontId="2" fillId="0" borderId="1" xfId="0" applyFont="1" applyBorder="1" applyProtection="1">
      <protection hidden="1"/>
    </xf>
    <xf numFmtId="0" fontId="2" fillId="0" borderId="2" xfId="0" applyFont="1" applyBorder="1" applyProtection="1">
      <protection hidden="1"/>
    </xf>
    <xf numFmtId="0" fontId="2" fillId="0" borderId="14" xfId="0" applyFont="1" applyBorder="1" applyProtection="1">
      <protection hidden="1"/>
    </xf>
    <xf numFmtId="0" fontId="2" fillId="0" borderId="0" xfId="0" applyFont="1" applyAlignment="1" applyProtection="1">
      <alignment wrapText="1"/>
      <protection hidden="1"/>
    </xf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0" fontId="0" fillId="0" borderId="4" xfId="0" applyBorder="1" applyProtection="1">
      <protection hidden="1"/>
    </xf>
    <xf numFmtId="0" fontId="0" fillId="0" borderId="2" xfId="0" applyBorder="1" applyProtection="1">
      <protection hidden="1"/>
    </xf>
    <xf numFmtId="0" fontId="2" fillId="0" borderId="3" xfId="0" applyFont="1" applyBorder="1" applyProtection="1">
      <protection hidden="1"/>
    </xf>
    <xf numFmtId="0" fontId="0" fillId="0" borderId="1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0" fillId="0" borderId="14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quotePrefix="1" applyBorder="1" applyProtection="1">
      <protection hidden="1"/>
    </xf>
    <xf numFmtId="0" fontId="0" fillId="0" borderId="14" xfId="0" applyBorder="1" applyAlignment="1" applyProtection="1">
      <alignment horizontal="right"/>
      <protection hidden="1"/>
    </xf>
    <xf numFmtId="0" fontId="2" fillId="0" borderId="14" xfId="0" quotePrefix="1" applyFont="1" applyBorder="1" applyProtection="1">
      <protection hidden="1"/>
    </xf>
    <xf numFmtId="1" fontId="2" fillId="0" borderId="1" xfId="0" applyNumberFormat="1" applyFont="1" applyBorder="1" applyAlignment="1" applyProtection="1">
      <alignment wrapText="1"/>
      <protection hidden="1"/>
    </xf>
    <xf numFmtId="0" fontId="0" fillId="0" borderId="1" xfId="0" quotePrefix="1" applyBorder="1" applyProtection="1">
      <protection hidden="1"/>
    </xf>
    <xf numFmtId="0" fontId="2" fillId="0" borderId="1" xfId="0" quotePrefix="1" applyFont="1" applyBorder="1" applyProtection="1">
      <protection hidden="1"/>
    </xf>
    <xf numFmtId="0" fontId="0" fillId="0" borderId="1" xfId="0" quotePrefix="1" applyFill="1" applyBorder="1" applyProtection="1">
      <protection hidden="1"/>
    </xf>
    <xf numFmtId="1" fontId="0" fillId="0" borderId="1" xfId="0" applyNumberFormat="1" applyBorder="1" applyAlignment="1" applyProtection="1">
      <alignment wrapText="1"/>
      <protection hidden="1"/>
    </xf>
    <xf numFmtId="0" fontId="0" fillId="0" borderId="1" xfId="0" applyFill="1" applyBorder="1" applyProtection="1">
      <protection hidden="1"/>
    </xf>
    <xf numFmtId="0" fontId="2" fillId="0" borderId="1" xfId="0" applyFont="1" applyFill="1" applyBorder="1" applyProtection="1">
      <protection hidden="1"/>
    </xf>
    <xf numFmtId="0" fontId="2" fillId="0" borderId="1" xfId="0" quotePrefix="1" applyFont="1" applyFill="1" applyBorder="1" applyProtection="1">
      <protection hidden="1"/>
    </xf>
    <xf numFmtId="166" fontId="0" fillId="0" borderId="0" xfId="1" applyNumberFormat="1" applyFont="1" applyBorder="1" applyProtection="1">
      <protection hidden="1"/>
    </xf>
    <xf numFmtId="1" fontId="0" fillId="0" borderId="0" xfId="0" applyNumberFormat="1" applyBorder="1" applyProtection="1">
      <protection hidden="1"/>
    </xf>
    <xf numFmtId="0" fontId="2" fillId="0" borderId="0" xfId="0" quotePrefix="1" applyFont="1" applyBorder="1" applyProtection="1">
      <protection hidden="1"/>
    </xf>
    <xf numFmtId="0" fontId="8" fillId="0" borderId="0" xfId="0" quotePrefix="1" applyFont="1" applyBorder="1" applyProtection="1">
      <protection hidden="1"/>
    </xf>
    <xf numFmtId="170" fontId="0" fillId="0" borderId="1" xfId="1" applyNumberFormat="1" applyFont="1" applyBorder="1" applyProtection="1">
      <protection hidden="1"/>
    </xf>
    <xf numFmtId="1" fontId="0" fillId="0" borderId="1" xfId="0" applyNumberFormat="1" applyBorder="1" applyProtection="1">
      <protection hidden="1"/>
    </xf>
    <xf numFmtId="0" fontId="8" fillId="0" borderId="1" xfId="0" quotePrefix="1" applyFont="1" applyBorder="1" applyProtection="1">
      <protection hidden="1"/>
    </xf>
    <xf numFmtId="0" fontId="2" fillId="0" borderId="0" xfId="0" applyFont="1" applyFill="1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right"/>
      <protection hidden="1"/>
    </xf>
    <xf numFmtId="0" fontId="0" fillId="0" borderId="1" xfId="0" applyFont="1" applyBorder="1" applyAlignment="1" applyProtection="1">
      <alignment horizontal="left"/>
      <protection hidden="1"/>
    </xf>
    <xf numFmtId="0" fontId="0" fillId="0" borderId="1" xfId="0" applyFont="1" applyFill="1" applyBorder="1" applyAlignment="1" applyProtection="1">
      <alignment horizontal="center"/>
      <protection hidden="1"/>
    </xf>
    <xf numFmtId="0" fontId="2" fillId="0" borderId="8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165" fontId="0" fillId="0" borderId="1" xfId="1" applyNumberFormat="1" applyFont="1" applyFill="1" applyBorder="1" applyAlignment="1" applyProtection="1">
      <protection hidden="1"/>
    </xf>
    <xf numFmtId="165" fontId="0" fillId="0" borderId="1" xfId="0" applyNumberFormat="1" applyFill="1" applyBorder="1" applyAlignment="1" applyProtection="1"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8" xfId="0" applyFont="1" applyFill="1" applyBorder="1" applyAlignment="1" applyProtection="1">
      <alignment horizontal="center"/>
      <protection hidden="1"/>
    </xf>
    <xf numFmtId="165" fontId="0" fillId="0" borderId="8" xfId="1" applyNumberFormat="1" applyFont="1" applyFill="1" applyBorder="1" applyAlignment="1" applyProtection="1">
      <protection hidden="1"/>
    </xf>
    <xf numFmtId="165" fontId="0" fillId="0" borderId="0" xfId="0" applyNumberFormat="1" applyFill="1" applyBorder="1" applyAlignment="1" applyProtection="1">
      <protection hidden="1"/>
    </xf>
    <xf numFmtId="2" fontId="2" fillId="0" borderId="1" xfId="0" applyNumberFormat="1" applyFont="1" applyFill="1" applyBorder="1" applyAlignment="1" applyProtection="1">
      <protection hidden="1"/>
    </xf>
    <xf numFmtId="164" fontId="2" fillId="0" borderId="1" xfId="0" applyNumberFormat="1" applyFont="1" applyFill="1" applyBorder="1" applyAlignment="1" applyProtection="1">
      <protection hidden="1"/>
    </xf>
    <xf numFmtId="0" fontId="2" fillId="0" borderId="1" xfId="0" applyFont="1" applyBorder="1" applyAlignment="1" applyProtection="1">
      <alignment horizontal="center"/>
      <protection hidden="1"/>
    </xf>
    <xf numFmtId="165" fontId="0" fillId="0" borderId="13" xfId="1" applyNumberFormat="1" applyFont="1" applyFill="1" applyBorder="1" applyAlignment="1" applyProtection="1">
      <protection hidden="1"/>
    </xf>
    <xf numFmtId="165" fontId="0" fillId="0" borderId="13" xfId="0" applyNumberFormat="1" applyFill="1" applyBorder="1" applyAlignment="1" applyProtection="1">
      <protection hidden="1"/>
    </xf>
    <xf numFmtId="0" fontId="0" fillId="0" borderId="13" xfId="0" applyFill="1" applyBorder="1" applyAlignment="1" applyProtection="1">
      <alignment horizontal="center"/>
      <protection hidden="1"/>
    </xf>
    <xf numFmtId="164" fontId="2" fillId="0" borderId="0" xfId="0" applyNumberFormat="1" applyFont="1" applyFill="1" applyBorder="1" applyAlignment="1" applyProtection="1">
      <protection hidden="1"/>
    </xf>
    <xf numFmtId="168" fontId="0" fillId="0" borderId="1" xfId="1" applyNumberFormat="1" applyFont="1" applyFill="1" applyBorder="1" applyProtection="1">
      <protection hidden="1"/>
    </xf>
    <xf numFmtId="168" fontId="0" fillId="0" borderId="1" xfId="0" applyNumberFormat="1" applyFill="1" applyBorder="1" applyProtection="1">
      <protection hidden="1"/>
    </xf>
    <xf numFmtId="168" fontId="0" fillId="0" borderId="1" xfId="0" applyNumberFormat="1" applyBorder="1" applyProtection="1">
      <protection hidden="1"/>
    </xf>
    <xf numFmtId="0" fontId="2" fillId="0" borderId="0" xfId="0" applyFont="1" applyProtection="1">
      <protection hidden="1"/>
    </xf>
    <xf numFmtId="0" fontId="2" fillId="0" borderId="0" xfId="0" quotePrefix="1" applyFont="1" applyProtection="1">
      <protection hidden="1"/>
    </xf>
    <xf numFmtId="168" fontId="0" fillId="0" borderId="0" xfId="0" applyNumberFormat="1" applyFill="1" applyBorder="1" applyProtection="1">
      <protection hidden="1"/>
    </xf>
    <xf numFmtId="168" fontId="0" fillId="0" borderId="0" xfId="0" applyNumberFormat="1" applyBorder="1" applyProtection="1">
      <protection hidden="1"/>
    </xf>
    <xf numFmtId="0" fontId="2" fillId="0" borderId="4" xfId="0" applyFont="1" applyBorder="1" applyProtection="1">
      <protection hidden="1"/>
    </xf>
    <xf numFmtId="0" fontId="0" fillId="0" borderId="4" xfId="0" applyFont="1" applyFill="1" applyBorder="1" applyProtection="1">
      <protection hidden="1"/>
    </xf>
    <xf numFmtId="0" fontId="0" fillId="0" borderId="0" xfId="0" applyFont="1" applyFill="1" applyBorder="1" applyProtection="1">
      <protection hidden="1"/>
    </xf>
    <xf numFmtId="0" fontId="2" fillId="4" borderId="15" xfId="0" applyFont="1" applyFill="1" applyBorder="1" applyAlignment="1" applyProtection="1">
      <alignment vertical="center"/>
    </xf>
    <xf numFmtId="2" fontId="2" fillId="4" borderId="17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/>
    </xf>
    <xf numFmtId="2" fontId="2" fillId="4" borderId="4" xfId="0" applyNumberFormat="1" applyFont="1" applyFill="1" applyBorder="1" applyAlignment="1" applyProtection="1">
      <alignment horizontal="center" vertical="center" wrapText="1"/>
    </xf>
    <xf numFmtId="0" fontId="2" fillId="4" borderId="18" xfId="0" applyFont="1" applyFill="1" applyBorder="1" applyAlignment="1" applyProtection="1">
      <alignment vertical="center"/>
      <protection locked="0"/>
    </xf>
    <xf numFmtId="0" fontId="2" fillId="4" borderId="19" xfId="0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</xf>
    <xf numFmtId="164" fontId="2" fillId="5" borderId="20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0" xfId="0" applyBorder="1" applyAlignment="1" applyProtection="1"/>
    <xf numFmtId="164" fontId="8" fillId="0" borderId="1" xfId="0" applyNumberFormat="1" applyFont="1" applyBorder="1" applyAlignment="1" applyProtection="1">
      <alignment horizontal="center" vertical="center"/>
    </xf>
    <xf numFmtId="1" fontId="2" fillId="4" borderId="1" xfId="0" applyNumberFormat="1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0" fillId="2" borderId="4" xfId="0" applyFill="1" applyBorder="1" applyAlignment="1" applyProtection="1">
      <alignment horizontal="center" vertical="center"/>
    </xf>
    <xf numFmtId="167" fontId="2" fillId="6" borderId="5" xfId="0" applyNumberFormat="1" applyFont="1" applyFill="1" applyBorder="1" applyAlignment="1" applyProtection="1">
      <alignment horizontal="left" vertical="top" wrapText="1"/>
    </xf>
    <xf numFmtId="167" fontId="2" fillId="6" borderId="6" xfId="0" applyNumberFormat="1" applyFont="1" applyFill="1" applyBorder="1" applyAlignment="1" applyProtection="1">
      <alignment horizontal="left" vertical="top" wrapText="1"/>
    </xf>
    <xf numFmtId="167" fontId="2" fillId="6" borderId="7" xfId="0" applyNumberFormat="1" applyFont="1" applyFill="1" applyBorder="1" applyAlignment="1" applyProtection="1">
      <alignment horizontal="left" vertical="top" wrapText="1"/>
    </xf>
    <xf numFmtId="167" fontId="2" fillId="6" borderId="10" xfId="0" applyNumberFormat="1" applyFont="1" applyFill="1" applyBorder="1" applyAlignment="1" applyProtection="1">
      <alignment horizontal="left" vertical="top" wrapText="1"/>
    </xf>
    <xf numFmtId="167" fontId="2" fillId="6" borderId="11" xfId="0" applyNumberFormat="1" applyFont="1" applyFill="1" applyBorder="1" applyAlignment="1" applyProtection="1">
      <alignment horizontal="left" vertical="top" wrapText="1"/>
    </xf>
    <xf numFmtId="167" fontId="2" fillId="6" borderId="12" xfId="0" applyNumberFormat="1" applyFont="1" applyFill="1" applyBorder="1" applyAlignment="1" applyProtection="1">
      <alignment horizontal="left" vertical="top" wrapText="1"/>
    </xf>
    <xf numFmtId="0" fontId="0" fillId="0" borderId="0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2" fillId="0" borderId="8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164" fontId="2" fillId="0" borderId="2" xfId="0" applyNumberFormat="1" applyFont="1" applyFill="1" applyBorder="1" applyAlignment="1" applyProtection="1">
      <alignment horizontal="left" vertical="center" wrapText="1"/>
    </xf>
    <xf numFmtId="164" fontId="2" fillId="0" borderId="3" xfId="0" applyNumberFormat="1" applyFont="1" applyFill="1" applyBorder="1" applyAlignment="1" applyProtection="1">
      <alignment horizontal="left" vertical="center" wrapText="1"/>
    </xf>
    <xf numFmtId="164" fontId="2" fillId="0" borderId="4" xfId="0" applyNumberFormat="1" applyFont="1" applyFill="1" applyBorder="1" applyAlignment="1" applyProtection="1">
      <alignment horizontal="left" vertical="center" wrapText="1"/>
    </xf>
    <xf numFmtId="0" fontId="8" fillId="0" borderId="6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2" fillId="0" borderId="8" xfId="0" applyFont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8" fillId="0" borderId="0" xfId="0" applyFont="1" applyAlignment="1" applyProtection="1">
      <alignment horizontal="left" vertical="top" wrapText="1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/>
      <protection locked="0"/>
    </xf>
    <xf numFmtId="0" fontId="0" fillId="0" borderId="10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</xf>
    <xf numFmtId="0" fontId="0" fillId="0" borderId="12" xfId="0" applyBorder="1" applyAlignment="1" applyProtection="1">
      <alignment vertical="center"/>
    </xf>
    <xf numFmtId="0" fontId="2" fillId="0" borderId="0" xfId="0" applyFont="1" applyBorder="1" applyAlignment="1" applyProtection="1">
      <alignment horizontal="left" wrapText="1"/>
    </xf>
    <xf numFmtId="0" fontId="2" fillId="0" borderId="5" xfId="0" applyFont="1" applyFill="1" applyBorder="1" applyAlignment="1" applyProtection="1">
      <alignment horizontal="left" vertical="top" wrapText="1"/>
    </xf>
    <xf numFmtId="0" fontId="2" fillId="0" borderId="6" xfId="0" applyFont="1" applyFill="1" applyBorder="1" applyAlignment="1" applyProtection="1">
      <alignment horizontal="left" vertical="top" wrapText="1"/>
    </xf>
    <xf numFmtId="0" fontId="2" fillId="0" borderId="7" xfId="0" applyFont="1" applyFill="1" applyBorder="1" applyAlignment="1" applyProtection="1">
      <alignment horizontal="left" vertical="top" wrapText="1"/>
    </xf>
    <xf numFmtId="0" fontId="2" fillId="0" borderId="8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 applyProtection="1">
      <alignment horizontal="left" vertical="top" wrapText="1"/>
    </xf>
    <xf numFmtId="0" fontId="2" fillId="0" borderId="9" xfId="0" applyFont="1" applyFill="1" applyBorder="1" applyAlignment="1" applyProtection="1">
      <alignment horizontal="left" vertical="top" wrapText="1"/>
    </xf>
    <xf numFmtId="0" fontId="2" fillId="0" borderId="10" xfId="0" applyFont="1" applyFill="1" applyBorder="1" applyAlignment="1" applyProtection="1">
      <alignment horizontal="left" vertical="top" wrapText="1"/>
    </xf>
    <xf numFmtId="0" fontId="2" fillId="0" borderId="11" xfId="0" applyFont="1" applyFill="1" applyBorder="1" applyAlignment="1" applyProtection="1">
      <alignment horizontal="left" vertical="top" wrapText="1"/>
    </xf>
    <xf numFmtId="0" fontId="2" fillId="0" borderId="12" xfId="0" applyFont="1" applyFill="1" applyBorder="1" applyAlignment="1" applyProtection="1">
      <alignment horizontal="left" vertical="top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top"/>
    </xf>
    <xf numFmtId="0" fontId="0" fillId="0" borderId="1" xfId="0" applyBorder="1" applyAlignment="1" applyProtection="1">
      <alignment horizontal="left" vertical="top" wrapText="1"/>
    </xf>
    <xf numFmtId="0" fontId="2" fillId="0" borderId="2" xfId="0" applyFont="1" applyBorder="1" applyAlignment="1" applyProtection="1">
      <alignment horizontal="left" vertical="center"/>
    </xf>
    <xf numFmtId="0" fontId="2" fillId="0" borderId="3" xfId="0" applyFont="1" applyBorder="1" applyAlignment="1" applyProtection="1">
      <alignment horizontal="left" vertical="center"/>
    </xf>
    <xf numFmtId="0" fontId="2" fillId="0" borderId="4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 wrapText="1"/>
    </xf>
  </cellXfs>
  <cellStyles count="3">
    <cellStyle name="Comma" xfId="1" builtinId="3"/>
    <cellStyle name="Normal" xfId="0" builtinId="0"/>
    <cellStyle name="Percent" xfId="2" builtinId="5"/>
  </cellStyles>
  <dxfs count="13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7171"/>
        </patternFill>
      </fill>
    </dxf>
    <dxf>
      <fill>
        <patternFill>
          <bgColor rgb="FFFF6565"/>
        </patternFill>
      </fill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7D7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99FF99"/>
      <color rgb="FFFFE48F"/>
      <color rgb="FFFF7171"/>
      <color rgb="FFFF6565"/>
      <color rgb="FFFF7D7D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Presets!$P$4:$P$7</c:f>
              <c:numCache>
                <c:formatCode>General</c:formatCode>
                <c:ptCount val="4"/>
                <c:pt idx="0">
                  <c:v>0.75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xVal>
          <c:yVal>
            <c:numRef>
              <c:f>Presets!$Q$4:$Q$7</c:f>
              <c:numCache>
                <c:formatCode>General</c:formatCode>
                <c:ptCount val="4"/>
                <c:pt idx="0">
                  <c:v>1</c:v>
                </c:pt>
                <c:pt idx="1">
                  <c:v>0.89</c:v>
                </c:pt>
                <c:pt idx="2">
                  <c:v>0.84</c:v>
                </c:pt>
                <c:pt idx="3">
                  <c:v>0.77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83-4FDE-AC67-E8F01E743E94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Presets!$P$4:$P$51</c:f>
              <c:numCache>
                <c:formatCode>General</c:formatCode>
                <c:ptCount val="48"/>
                <c:pt idx="0">
                  <c:v>0.75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Presets!$R$4:$R$51</c:f>
              <c:numCache>
                <c:formatCode>General</c:formatCode>
                <c:ptCount val="48"/>
                <c:pt idx="0">
                  <c:v>0.92689374999999996</c:v>
                </c:pt>
                <c:pt idx="1">
                  <c:v>0.90780000000000005</c:v>
                </c:pt>
                <c:pt idx="2">
                  <c:v>0.83579999999999999</c:v>
                </c:pt>
                <c:pt idx="3">
                  <c:v>0.77080000000000004</c:v>
                </c:pt>
                <c:pt idx="4">
                  <c:v>0.71279999999999999</c:v>
                </c:pt>
                <c:pt idx="5">
                  <c:v>0.66179999999999994</c:v>
                </c:pt>
                <c:pt idx="6">
                  <c:v>0.61780000000000002</c:v>
                </c:pt>
                <c:pt idx="7">
                  <c:v>0.58079999999999998</c:v>
                </c:pt>
                <c:pt idx="8">
                  <c:v>0.55079999999999996</c:v>
                </c:pt>
                <c:pt idx="9">
                  <c:v>0.52779999999999994</c:v>
                </c:pt>
                <c:pt idx="10">
                  <c:v>0.46379999999999993</c:v>
                </c:pt>
                <c:pt idx="11">
                  <c:v>0.44779999999999998</c:v>
                </c:pt>
                <c:pt idx="12">
                  <c:v>0.43179999999999996</c:v>
                </c:pt>
                <c:pt idx="13">
                  <c:v>0.41579999999999995</c:v>
                </c:pt>
                <c:pt idx="16">
                  <c:v>0.39979999999999993</c:v>
                </c:pt>
                <c:pt idx="17">
                  <c:v>0.38379999999999992</c:v>
                </c:pt>
                <c:pt idx="18">
                  <c:v>0.36779999999999996</c:v>
                </c:pt>
                <c:pt idx="19">
                  <c:v>0.35179999999999995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383-4FDE-AC67-E8F01E743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486496"/>
        <c:axId val="754483216"/>
      </c:scatterChart>
      <c:valAx>
        <c:axId val="754486496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754483216"/>
        <c:crosses val="autoZero"/>
        <c:crossBetween val="midCat"/>
      </c:valAx>
      <c:valAx>
        <c:axId val="75448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754486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17.png"/><Relationship Id="rId18" Type="http://schemas.microsoft.com/office/2007/relationships/hdphoto" Target="../media/hdphoto9.wdp"/><Relationship Id="rId26" Type="http://schemas.openxmlformats.org/officeDocument/2006/relationships/image" Target="../media/image26.jpeg"/><Relationship Id="rId3" Type="http://schemas.openxmlformats.org/officeDocument/2006/relationships/image" Target="../media/image12.png"/><Relationship Id="rId21" Type="http://schemas.openxmlformats.org/officeDocument/2006/relationships/image" Target="../media/image21.jpeg"/><Relationship Id="rId7" Type="http://schemas.openxmlformats.org/officeDocument/2006/relationships/image" Target="../media/image14.png"/><Relationship Id="rId12" Type="http://schemas.microsoft.com/office/2007/relationships/hdphoto" Target="../media/hdphoto6.wdp"/><Relationship Id="rId17" Type="http://schemas.openxmlformats.org/officeDocument/2006/relationships/image" Target="../media/image19.png"/><Relationship Id="rId25" Type="http://schemas.openxmlformats.org/officeDocument/2006/relationships/image" Target="../media/image25.jpeg"/><Relationship Id="rId2" Type="http://schemas.microsoft.com/office/2007/relationships/hdphoto" Target="../media/hdphoto1.wdp"/><Relationship Id="rId16" Type="http://schemas.microsoft.com/office/2007/relationships/hdphoto" Target="../media/hdphoto8.wdp"/><Relationship Id="rId20" Type="http://schemas.microsoft.com/office/2007/relationships/hdphoto" Target="../media/hdphoto10.wdp"/><Relationship Id="rId1" Type="http://schemas.openxmlformats.org/officeDocument/2006/relationships/image" Target="../media/image11.png"/><Relationship Id="rId6" Type="http://schemas.microsoft.com/office/2007/relationships/hdphoto" Target="../media/hdphoto3.wdp"/><Relationship Id="rId11" Type="http://schemas.openxmlformats.org/officeDocument/2006/relationships/image" Target="../media/image16.png"/><Relationship Id="rId24" Type="http://schemas.openxmlformats.org/officeDocument/2006/relationships/image" Target="../media/image24.jpeg"/><Relationship Id="rId5" Type="http://schemas.openxmlformats.org/officeDocument/2006/relationships/image" Target="../media/image13.png"/><Relationship Id="rId15" Type="http://schemas.openxmlformats.org/officeDocument/2006/relationships/image" Target="../media/image18.png"/><Relationship Id="rId23" Type="http://schemas.openxmlformats.org/officeDocument/2006/relationships/image" Target="../media/image23.jpeg"/><Relationship Id="rId28" Type="http://schemas.openxmlformats.org/officeDocument/2006/relationships/image" Target="../media/image27.png"/><Relationship Id="rId10" Type="http://schemas.microsoft.com/office/2007/relationships/hdphoto" Target="../media/hdphoto5.wdp"/><Relationship Id="rId19" Type="http://schemas.openxmlformats.org/officeDocument/2006/relationships/image" Target="../media/image20.png"/><Relationship Id="rId4" Type="http://schemas.microsoft.com/office/2007/relationships/hdphoto" Target="../media/hdphoto2.wdp"/><Relationship Id="rId9" Type="http://schemas.openxmlformats.org/officeDocument/2006/relationships/image" Target="../media/image15.png"/><Relationship Id="rId14" Type="http://schemas.microsoft.com/office/2007/relationships/hdphoto" Target="../media/hdphoto7.wdp"/><Relationship Id="rId22" Type="http://schemas.openxmlformats.org/officeDocument/2006/relationships/image" Target="../media/image22.jpeg"/><Relationship Id="rId27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152400</xdr:rowOff>
    </xdr:from>
    <xdr:to>
      <xdr:col>10</xdr:col>
      <xdr:colOff>9525</xdr:colOff>
      <xdr:row>7</xdr:row>
      <xdr:rowOff>126329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70586" b="61671"/>
        <a:stretch/>
      </xdr:blipFill>
      <xdr:spPr>
        <a:xfrm>
          <a:off x="5676900" y="962025"/>
          <a:ext cx="771525" cy="4597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214312</xdr:colOff>
          <xdr:row>25</xdr:row>
          <xdr:rowOff>44574</xdr:rowOff>
        </xdr:from>
        <xdr:to>
          <xdr:col>16</xdr:col>
          <xdr:colOff>153413</xdr:colOff>
          <xdr:row>25</xdr:row>
          <xdr:rowOff>800971</xdr:rowOff>
        </xdr:to>
        <xdr:pic>
          <xdr:nvPicPr>
            <xdr:cNvPr id="8" name="Grafik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odul" spid="_x0000_s16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281254" y="6199189"/>
              <a:ext cx="1890993" cy="7563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241788</xdr:colOff>
          <xdr:row>28</xdr:row>
          <xdr:rowOff>36633</xdr:rowOff>
        </xdr:from>
        <xdr:to>
          <xdr:col>16</xdr:col>
          <xdr:colOff>184064</xdr:colOff>
          <xdr:row>28</xdr:row>
          <xdr:rowOff>789855</xdr:rowOff>
        </xdr:to>
        <xdr:pic>
          <xdr:nvPicPr>
            <xdr:cNvPr id="9" name="Grafik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atchcord" spid="_x0000_s164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8308730" y="7436825"/>
              <a:ext cx="1890993" cy="7563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14</xdr:col>
      <xdr:colOff>353749</xdr:colOff>
      <xdr:row>0</xdr:row>
      <xdr:rowOff>7327</xdr:rowOff>
    </xdr:from>
    <xdr:to>
      <xdr:col>16</xdr:col>
      <xdr:colOff>326785</xdr:colOff>
      <xdr:row>1</xdr:row>
      <xdr:rowOff>104846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1710"/>
        <a:stretch/>
      </xdr:blipFill>
      <xdr:spPr>
        <a:xfrm>
          <a:off x="9109422" y="7327"/>
          <a:ext cx="1236197" cy="428185"/>
        </a:xfrm>
        <a:prstGeom prst="rect">
          <a:avLst/>
        </a:prstGeom>
      </xdr:spPr>
    </xdr:pic>
    <xdr:clientData/>
  </xdr:twoCellAnchor>
  <xdr:twoCellAnchor editAs="oneCell">
    <xdr:from>
      <xdr:col>9</xdr:col>
      <xdr:colOff>264942</xdr:colOff>
      <xdr:row>25</xdr:row>
      <xdr:rowOff>182294</xdr:rowOff>
    </xdr:from>
    <xdr:to>
      <xdr:col>10</xdr:col>
      <xdr:colOff>322386</xdr:colOff>
      <xdr:row>25</xdr:row>
      <xdr:rowOff>600403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8461" y="6168390"/>
          <a:ext cx="541020" cy="421284"/>
        </a:xfrm>
        <a:prstGeom prst="rect">
          <a:avLst/>
        </a:prstGeom>
      </xdr:spPr>
    </xdr:pic>
    <xdr:clientData/>
  </xdr:twoCellAnchor>
  <xdr:twoCellAnchor editAs="oneCell">
    <xdr:from>
      <xdr:col>9</xdr:col>
      <xdr:colOff>294249</xdr:colOff>
      <xdr:row>28</xdr:row>
      <xdr:rowOff>174382</xdr:rowOff>
    </xdr:from>
    <xdr:to>
      <xdr:col>10</xdr:col>
      <xdr:colOff>354868</xdr:colOff>
      <xdr:row>28</xdr:row>
      <xdr:rowOff>615986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768" y="7406055"/>
          <a:ext cx="541020" cy="43842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19050</xdr:rowOff>
        </xdr:from>
        <xdr:to>
          <xdr:col>6</xdr:col>
          <xdr:colOff>19050</xdr:colOff>
          <xdr:row>28</xdr:row>
          <xdr:rowOff>809625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1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197304</xdr:colOff>
      <xdr:row>15</xdr:row>
      <xdr:rowOff>95252</xdr:rowOff>
    </xdr:from>
    <xdr:to>
      <xdr:col>7</xdr:col>
      <xdr:colOff>523875</xdr:colOff>
      <xdr:row>19</xdr:row>
      <xdr:rowOff>39270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304" y="3871234"/>
          <a:ext cx="4680857" cy="808072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27214</xdr:rowOff>
    </xdr:from>
    <xdr:to>
      <xdr:col>12</xdr:col>
      <xdr:colOff>691912</xdr:colOff>
      <xdr:row>1</xdr:row>
      <xdr:rowOff>130339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1710"/>
        <a:stretch/>
      </xdr:blipFill>
      <xdr:spPr>
        <a:xfrm>
          <a:off x="6817179" y="27214"/>
          <a:ext cx="1236197" cy="428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169089</xdr:colOff>
      <xdr:row>62</xdr:row>
      <xdr:rowOff>83811</xdr:rowOff>
    </xdr:from>
    <xdr:to>
      <xdr:col>2</xdr:col>
      <xdr:colOff>1789089</xdr:colOff>
      <xdr:row>62</xdr:row>
      <xdr:rowOff>667763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>
          <a:grpSpLocks noChangeAspect="1"/>
        </xdr:cNvGrpSpPr>
      </xdr:nvGrpSpPr>
      <xdr:grpSpPr>
        <a:xfrm>
          <a:off x="3198039" y="12618711"/>
          <a:ext cx="1620000" cy="583952"/>
          <a:chOff x="5580112" y="3068960"/>
          <a:chExt cx="2887780" cy="1040914"/>
        </a:xfrm>
      </xdr:grpSpPr>
      <xdr:pic>
        <xdr:nvPicPr>
          <xdr:cNvPr id="9" name="Picture 2" descr="090.7076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27892" y="3068960"/>
            <a:ext cx="1440000" cy="10409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6" descr="090.7180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186" b="100000" l="1429" r="96000">
                        <a14:foregroundMark x1="30857" y1="10277" x2="22857" y2="19368"/>
                        <a14:foregroundMark x1="46286" y1="15415" x2="60857" y2="2371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80112" y="3068960"/>
            <a:ext cx="1440000" cy="10409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169089</xdr:colOff>
      <xdr:row>61</xdr:row>
      <xdr:rowOff>83229</xdr:rowOff>
    </xdr:from>
    <xdr:to>
      <xdr:col>2</xdr:col>
      <xdr:colOff>1789089</xdr:colOff>
      <xdr:row>61</xdr:row>
      <xdr:rowOff>667046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>
          <a:grpSpLocks noChangeAspect="1"/>
        </xdr:cNvGrpSpPr>
      </xdr:nvGrpSpPr>
      <xdr:grpSpPr>
        <a:xfrm>
          <a:off x="3198039" y="11856129"/>
          <a:ext cx="1620000" cy="583817"/>
          <a:chOff x="4700312" y="4708748"/>
          <a:chExt cx="2888404" cy="1040914"/>
        </a:xfrm>
      </xdr:grpSpPr>
      <xdr:pic>
        <xdr:nvPicPr>
          <xdr:cNvPr id="7" name="Picture 6" descr="090.7180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186" b="100000" l="1429" r="96000">
                        <a14:foregroundMark x1="30857" y1="10277" x2="22857" y2="19368"/>
                        <a14:foregroundMark x1="46286" y1="15415" x2="60857" y2="2371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48716" y="4708748"/>
            <a:ext cx="1440000" cy="10409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9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ackgroundRemoval t="0" b="100000" l="9143" r="90000">
                        <a14:foregroundMark x1="70000" y1="42688" x2="62571" y2="68379"/>
                        <a14:foregroundMark x1="83143" y1="60079" x2="83143" y2="80632"/>
                        <a14:foregroundMark x1="70571" y1="91700" x2="82286" y2="81423"/>
                        <a14:foregroundMark x1="64571" y1="96047" x2="70571" y2="90909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00312" y="4708748"/>
            <a:ext cx="1440000" cy="104091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169089</xdr:colOff>
      <xdr:row>60</xdr:row>
      <xdr:rowOff>82105</xdr:rowOff>
    </xdr:from>
    <xdr:to>
      <xdr:col>2</xdr:col>
      <xdr:colOff>1789089</xdr:colOff>
      <xdr:row>60</xdr:row>
      <xdr:rowOff>666464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>
          <a:grpSpLocks noChangeAspect="1"/>
        </xdr:cNvGrpSpPr>
      </xdr:nvGrpSpPr>
      <xdr:grpSpPr>
        <a:xfrm>
          <a:off x="3198039" y="11093005"/>
          <a:ext cx="1620000" cy="584359"/>
          <a:chOff x="5440740" y="5301208"/>
          <a:chExt cx="2885700" cy="1040914"/>
        </a:xfrm>
      </xdr:grpSpPr>
      <xdr:pic>
        <xdr:nvPicPr>
          <xdr:cNvPr id="5" name="Picture 9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BEBA8EAE-BF5A-486C-A8C5-ECC9F3942E4B}">
                <a14:imgProps xmlns:a14="http://schemas.microsoft.com/office/drawing/2010/main">
                  <a14:imgLayer r:embed="rId8">
                    <a14:imgEffect>
                      <a14:backgroundRemoval t="0" b="100000" l="9143" r="90000">
                        <a14:foregroundMark x1="70000" y1="42688" x2="62571" y2="68379"/>
                        <a14:foregroundMark x1="83143" y1="60079" x2="83143" y2="80632"/>
                        <a14:foregroundMark x1="70571" y1="91700" x2="82286" y2="81423"/>
                        <a14:foregroundMark x1="64571" y1="96047" x2="70571" y2="90909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86440" y="5301208"/>
            <a:ext cx="1440000" cy="104091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</a:extLst>
        </xdr:spPr>
      </xdr:pic>
      <xdr:pic>
        <xdr:nvPicPr>
          <xdr:cNvPr id="6" name="Picture 13" descr="090.5329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100000" l="5429" r="100000"/>
                    </a14:imgEffect>
                    <a14:imgEffect>
                      <a14:brightnessContrast bright="-8000" contrast="-1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40740" y="5301208"/>
            <a:ext cx="1440000" cy="10409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157205</xdr:colOff>
      <xdr:row>62</xdr:row>
      <xdr:rowOff>83820</xdr:rowOff>
    </xdr:from>
    <xdr:to>
      <xdr:col>3</xdr:col>
      <xdr:colOff>1777205</xdr:colOff>
      <xdr:row>62</xdr:row>
      <xdr:rowOff>669269</xdr:rowOff>
    </xdr:to>
    <xdr:grpSp>
      <xdr:nvGrpSpPr>
        <xdr:cNvPr id="20" name="Gruppiere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pSpPr>
          <a:grpSpLocks noChangeAspect="1"/>
        </xdr:cNvGrpSpPr>
      </xdr:nvGrpSpPr>
      <xdr:grpSpPr>
        <a:xfrm>
          <a:off x="5081630" y="12618720"/>
          <a:ext cx="1620000" cy="585449"/>
          <a:chOff x="5292080" y="3100556"/>
          <a:chExt cx="2880320" cy="1040914"/>
        </a:xfrm>
      </xdr:grpSpPr>
      <xdr:pic>
        <xdr:nvPicPr>
          <xdr:cNvPr id="27" name="Picture 4" descr="090.5449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ackgroundRemoval t="2767" b="100000" l="0" r="97429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32400" y="3100556"/>
            <a:ext cx="1440000" cy="10409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8" descr="090.7179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ackgroundRemoval t="0" b="100000" l="0" r="94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2080" y="3100556"/>
            <a:ext cx="1440000" cy="10409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157205</xdr:colOff>
      <xdr:row>61</xdr:row>
      <xdr:rowOff>86297</xdr:rowOff>
    </xdr:from>
    <xdr:to>
      <xdr:col>3</xdr:col>
      <xdr:colOff>1777205</xdr:colOff>
      <xdr:row>61</xdr:row>
      <xdr:rowOff>670207</xdr:rowOff>
    </xdr:to>
    <xdr:grpSp>
      <xdr:nvGrpSpPr>
        <xdr:cNvPr id="21" name="Gruppieren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pSpPr>
          <a:grpSpLocks noChangeAspect="1"/>
        </xdr:cNvGrpSpPr>
      </xdr:nvGrpSpPr>
      <xdr:grpSpPr>
        <a:xfrm>
          <a:off x="5081630" y="11859197"/>
          <a:ext cx="1620000" cy="583910"/>
          <a:chOff x="3707904" y="4172362"/>
          <a:chExt cx="2887940" cy="1040914"/>
        </a:xfrm>
      </xdr:grpSpPr>
      <xdr:pic>
        <xdr:nvPicPr>
          <xdr:cNvPr id="25" name="Picture 8" descr="090.7179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BEBA8EAE-BF5A-486C-A8C5-ECC9F3942E4B}">
                <a14:imgProps xmlns:a14="http://schemas.microsoft.com/office/drawing/2010/main">
                  <a14:imgLayer r:embed="rId16">
                    <a14:imgEffect>
                      <a14:backgroundRemoval t="0" b="100000" l="0" r="94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55844" y="4172362"/>
            <a:ext cx="1440000" cy="10409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11" descr="010.2017"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BEBA8EAE-BF5A-486C-A8C5-ECC9F3942E4B}">
                <a14:imgProps xmlns:a14="http://schemas.microsoft.com/office/drawing/2010/main">
                  <a14:imgLayer r:embed="rId18">
                    <a14:imgEffect>
                      <a14:backgroundRemoval t="0" b="100000" l="5429" r="89714">
                        <a14:foregroundMark x1="65429" y1="35968" x2="54857" y2="67589"/>
                        <a14:foregroundMark x1="76857" y1="52174" x2="42571" y2="52174"/>
                        <a14:foregroundMark x1="61714" y1="60079" x2="71714" y2="54941"/>
                        <a14:foregroundMark x1="72857" y1="48617" x2="65429" y2="35968"/>
                        <a14:foregroundMark x1="65429" y1="47036" x2="68571" y2="52964"/>
                        <a14:foregroundMark x1="58000" y1="48617" x2="66857" y2="42688"/>
                        <a14:foregroundMark x1="66000" y1="38340" x2="47429" y2="49012"/>
                        <a14:foregroundMark x1="45143" y1="53360" x2="55429" y2="65217"/>
                        <a14:foregroundMark x1="60000" y1="64427" x2="60000" y2="64427"/>
                        <a14:foregroundMark x1="54286" y1="54941" x2="54286" y2="5494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07904" y="4172362"/>
            <a:ext cx="1440000" cy="10409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157205</xdr:colOff>
      <xdr:row>60</xdr:row>
      <xdr:rowOff>84780</xdr:rowOff>
    </xdr:from>
    <xdr:to>
      <xdr:col>3</xdr:col>
      <xdr:colOff>1777205</xdr:colOff>
      <xdr:row>60</xdr:row>
      <xdr:rowOff>668690</xdr:rowOff>
    </xdr:to>
    <xdr:grpSp>
      <xdr:nvGrpSpPr>
        <xdr:cNvPr id="22" name="Gruppieren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pSpPr>
          <a:grpSpLocks noChangeAspect="1"/>
        </xdr:cNvGrpSpPr>
      </xdr:nvGrpSpPr>
      <xdr:grpSpPr>
        <a:xfrm>
          <a:off x="5081630" y="11095680"/>
          <a:ext cx="1620000" cy="583910"/>
          <a:chOff x="3635896" y="5394186"/>
          <a:chExt cx="2887940" cy="1040914"/>
        </a:xfrm>
      </xdr:grpSpPr>
      <xdr:pic>
        <xdr:nvPicPr>
          <xdr:cNvPr id="23" name="Picture 11" descr="010.2017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BEBA8EAE-BF5A-486C-A8C5-ECC9F3942E4B}">
                <a14:imgProps xmlns:a14="http://schemas.microsoft.com/office/drawing/2010/main">
                  <a14:imgLayer r:embed="rId18">
                    <a14:imgEffect>
                      <a14:backgroundRemoval t="0" b="100000" l="5429" r="89714">
                        <a14:foregroundMark x1="65429" y1="35968" x2="54857" y2="67589"/>
                        <a14:foregroundMark x1="76857" y1="52174" x2="42571" y2="52174"/>
                        <a14:foregroundMark x1="61714" y1="60079" x2="71714" y2="54941"/>
                        <a14:foregroundMark x1="72857" y1="48617" x2="65429" y2="35968"/>
                        <a14:foregroundMark x1="65429" y1="47036" x2="68571" y2="52964"/>
                        <a14:foregroundMark x1="58000" y1="48617" x2="66857" y2="42688"/>
                        <a14:foregroundMark x1="66000" y1="38340" x2="47429" y2="49012"/>
                        <a14:foregroundMark x1="45143" y1="53360" x2="55429" y2="65217"/>
                        <a14:foregroundMark x1="60000" y1="64427" x2="60000" y2="64427"/>
                        <a14:foregroundMark x1="54286" y1="54941" x2="54286" y2="54941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3836" y="5394186"/>
            <a:ext cx="1440000" cy="10409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15" descr="090.5330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BEBA8EAE-BF5A-486C-A8C5-ECC9F3942E4B}">
                <a14:imgProps xmlns:a14="http://schemas.microsoft.com/office/drawing/2010/main">
                  <a14:imgLayer r:embed="rId20">
                    <a14:imgEffect>
                      <a14:backgroundRemoval t="0" b="100000" l="571" r="94857"/>
                    </a14:imgEffect>
                    <a14:imgEffect>
                      <a14:brightnessContrast contrast="-16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35896" y="5394186"/>
            <a:ext cx="1440000" cy="10409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8</xdr:col>
      <xdr:colOff>370157</xdr:colOff>
      <xdr:row>60</xdr:row>
      <xdr:rowOff>38101</xdr:rowOff>
    </xdr:from>
    <xdr:to>
      <xdr:col>8</xdr:col>
      <xdr:colOff>1391492</xdr:colOff>
      <xdr:row>61</xdr:row>
      <xdr:rowOff>16171</xdr:rowOff>
    </xdr:to>
    <xdr:pic>
      <xdr:nvPicPr>
        <xdr:cNvPr id="29" name="Picture 17" descr="010.2040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3057" y="6743701"/>
          <a:ext cx="1008000" cy="72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375763</xdr:colOff>
      <xdr:row>60</xdr:row>
      <xdr:rowOff>33919</xdr:rowOff>
    </xdr:from>
    <xdr:to>
      <xdr:col>9</xdr:col>
      <xdr:colOff>1387573</xdr:colOff>
      <xdr:row>61</xdr:row>
      <xdr:rowOff>559</xdr:rowOff>
    </xdr:to>
    <xdr:pic>
      <xdr:nvPicPr>
        <xdr:cNvPr id="30" name="Picture 19" descr="090.6828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9383" y="6739519"/>
          <a:ext cx="1008000" cy="72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370157</xdr:colOff>
      <xdr:row>61</xdr:row>
      <xdr:rowOff>34847</xdr:rowOff>
    </xdr:from>
    <xdr:to>
      <xdr:col>8</xdr:col>
      <xdr:colOff>1391492</xdr:colOff>
      <xdr:row>62</xdr:row>
      <xdr:rowOff>1487</xdr:rowOff>
    </xdr:to>
    <xdr:pic>
      <xdr:nvPicPr>
        <xdr:cNvPr id="31" name="Picture 21" descr="010.2076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3057" y="7502447"/>
          <a:ext cx="1008000" cy="72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375763</xdr:colOff>
      <xdr:row>61</xdr:row>
      <xdr:rowOff>37683</xdr:rowOff>
    </xdr:from>
    <xdr:to>
      <xdr:col>9</xdr:col>
      <xdr:colOff>1387573</xdr:colOff>
      <xdr:row>62</xdr:row>
      <xdr:rowOff>15753</xdr:rowOff>
    </xdr:to>
    <xdr:pic>
      <xdr:nvPicPr>
        <xdr:cNvPr id="32" name="Picture 23" descr="090.6826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9383" y="7505283"/>
          <a:ext cx="1008000" cy="72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370157</xdr:colOff>
      <xdr:row>62</xdr:row>
      <xdr:rowOff>31592</xdr:rowOff>
    </xdr:from>
    <xdr:to>
      <xdr:col>8</xdr:col>
      <xdr:colOff>1391492</xdr:colOff>
      <xdr:row>63</xdr:row>
      <xdr:rowOff>19075</xdr:rowOff>
    </xdr:to>
    <xdr:pic>
      <xdr:nvPicPr>
        <xdr:cNvPr id="33" name="Picture 25" descr="090.539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3057" y="8261192"/>
          <a:ext cx="1008000" cy="72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375763</xdr:colOff>
      <xdr:row>62</xdr:row>
      <xdr:rowOff>41446</xdr:rowOff>
    </xdr:from>
    <xdr:to>
      <xdr:col>9</xdr:col>
      <xdr:colOff>1387573</xdr:colOff>
      <xdr:row>63</xdr:row>
      <xdr:rowOff>15706</xdr:rowOff>
    </xdr:to>
    <xdr:pic>
      <xdr:nvPicPr>
        <xdr:cNvPr id="34" name="Picture 27" descr="090.6827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9383" y="8271046"/>
          <a:ext cx="1008000" cy="72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301550</xdr:colOff>
      <xdr:row>1</xdr:row>
      <xdr:rowOff>64771</xdr:rowOff>
    </xdr:from>
    <xdr:to>
      <xdr:col>24</xdr:col>
      <xdr:colOff>168984</xdr:colOff>
      <xdr:row>51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11</xdr:col>
      <xdr:colOff>994521</xdr:colOff>
      <xdr:row>30</xdr:row>
      <xdr:rowOff>84044</xdr:rowOff>
    </xdr:from>
    <xdr:to>
      <xdr:col>17</xdr:col>
      <xdr:colOff>462242</xdr:colOff>
      <xdr:row>47</xdr:row>
      <xdr:rowOff>158051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649264" y="6401360"/>
          <a:ext cx="7143750" cy="29410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image" Target="../media/image2.emf"/><Relationship Id="rId4" Type="http://schemas.openxmlformats.org/officeDocument/2006/relationships/package" Target="../embeddings/Microsoft_Visio_Drawing.vsdx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B78F6-F383-4CBB-AD8C-8EDE83A3B7F6}">
  <sheetPr codeName="Tabelle1"/>
  <dimension ref="B1:K11"/>
  <sheetViews>
    <sheetView showGridLines="0" showRowColHeaders="0" zoomScale="131" zoomScaleNormal="131" workbookViewId="0">
      <selection activeCell="G5" sqref="G5"/>
    </sheetView>
  </sheetViews>
  <sheetFormatPr defaultColWidth="11.42578125" defaultRowHeight="12.75"/>
  <cols>
    <col min="1" max="1" width="2.28515625" style="10" customWidth="1"/>
    <col min="2" max="2" width="22.85546875" style="10" customWidth="1"/>
    <col min="3" max="3" width="14.28515625" style="10" customWidth="1"/>
    <col min="4" max="5" width="11.42578125" style="10"/>
    <col min="6" max="6" width="10.5703125" style="10" customWidth="1"/>
    <col min="7" max="7" width="11.42578125" style="10"/>
    <col min="8" max="8" width="0" style="10" hidden="1" customWidth="1"/>
    <col min="9" max="9" width="3.140625" style="10" customWidth="1"/>
    <col min="10" max="10" width="11.42578125" style="10"/>
    <col min="11" max="11" width="15.140625" style="10" customWidth="1"/>
    <col min="12" max="16384" width="11.42578125" style="10"/>
  </cols>
  <sheetData>
    <row r="1" spans="2:11" ht="34.9" customHeight="1">
      <c r="B1" s="119" t="s">
        <v>159</v>
      </c>
    </row>
    <row r="3" spans="2:11" ht="31.5" customHeight="1">
      <c r="B3" s="120" t="s">
        <v>144</v>
      </c>
      <c r="C3" s="121" t="s">
        <v>151</v>
      </c>
      <c r="D3" s="121" t="s">
        <v>45</v>
      </c>
      <c r="E3" s="121" t="s">
        <v>146</v>
      </c>
      <c r="F3" s="121" t="s">
        <v>156</v>
      </c>
      <c r="G3" s="121" t="s">
        <v>157</v>
      </c>
      <c r="H3" s="122" t="s">
        <v>158</v>
      </c>
      <c r="I3" s="122"/>
      <c r="J3" s="123" t="s">
        <v>166</v>
      </c>
      <c r="K3" s="123" t="s">
        <v>160</v>
      </c>
    </row>
    <row r="4" spans="2:11">
      <c r="B4" s="124" t="s">
        <v>145</v>
      </c>
      <c r="C4" s="125" t="s">
        <v>155</v>
      </c>
      <c r="D4" s="126">
        <v>0</v>
      </c>
      <c r="E4" s="127">
        <v>0</v>
      </c>
      <c r="F4" s="126">
        <v>0</v>
      </c>
      <c r="G4" s="128">
        <f>1-SUM(G5:G8)</f>
        <v>0</v>
      </c>
      <c r="H4" s="129"/>
      <c r="I4" s="129"/>
      <c r="J4" s="130">
        <f>SQRT(SUM(E4^2*100*F4*2*G4,E5^2*100*F5*2*G5,E6^2*100*F6*2*G6,E7^2*100*F7*2*G7,E8^2*100*F8*2*G8)/800)</f>
        <v>0.5</v>
      </c>
      <c r="K4" s="131" t="str">
        <f>IF(J4&lt;0.2125,"RP1",IF(J4=0.5,"RP3","RP2"))</f>
        <v>RP3</v>
      </c>
    </row>
    <row r="5" spans="2:11">
      <c r="B5" s="124" t="s">
        <v>147</v>
      </c>
      <c r="C5" s="34" t="s">
        <v>154</v>
      </c>
      <c r="D5" s="126">
        <v>15</v>
      </c>
      <c r="E5" s="132">
        <v>0.17499999999999999</v>
      </c>
      <c r="F5" s="126">
        <v>2</v>
      </c>
      <c r="G5" s="136">
        <v>0</v>
      </c>
      <c r="H5" s="129">
        <f>1-G6-G7-G8</f>
        <v>0</v>
      </c>
      <c r="I5" s="129"/>
      <c r="J5" s="133"/>
      <c r="K5" s="133"/>
    </row>
    <row r="6" spans="2:11">
      <c r="B6" s="124" t="s">
        <v>148</v>
      </c>
      <c r="C6" s="34" t="s">
        <v>153</v>
      </c>
      <c r="D6" s="126">
        <v>30</v>
      </c>
      <c r="E6" s="132">
        <v>0.3</v>
      </c>
      <c r="F6" s="126">
        <v>2</v>
      </c>
      <c r="G6" s="136">
        <v>0</v>
      </c>
      <c r="H6" s="129">
        <f>1-G5-G7-G8</f>
        <v>0</v>
      </c>
      <c r="I6" s="129"/>
      <c r="J6" s="133"/>
      <c r="K6" s="133"/>
    </row>
    <row r="7" spans="2:11">
      <c r="B7" s="124" t="s">
        <v>149</v>
      </c>
      <c r="C7" s="34" t="s">
        <v>152</v>
      </c>
      <c r="D7" s="126">
        <v>60</v>
      </c>
      <c r="E7" s="132">
        <v>0.3</v>
      </c>
      <c r="F7" s="126">
        <v>4</v>
      </c>
      <c r="G7" s="136">
        <v>0</v>
      </c>
      <c r="H7" s="129">
        <f>1-G5-G6-G8</f>
        <v>0</v>
      </c>
      <c r="I7" s="129"/>
      <c r="J7" s="133"/>
      <c r="K7" s="133"/>
    </row>
    <row r="8" spans="2:11">
      <c r="B8" s="124" t="s">
        <v>150</v>
      </c>
      <c r="C8" s="34" t="s">
        <v>152</v>
      </c>
      <c r="D8" s="126">
        <v>90</v>
      </c>
      <c r="E8" s="132">
        <v>0.5</v>
      </c>
      <c r="F8" s="126">
        <v>4</v>
      </c>
      <c r="G8" s="136">
        <v>1</v>
      </c>
      <c r="H8" s="129">
        <f>1-G7-G6-G5</f>
        <v>1</v>
      </c>
      <c r="I8" s="129"/>
      <c r="J8" s="133"/>
      <c r="K8" s="133"/>
    </row>
    <row r="9" spans="2:11">
      <c r="G9" s="134"/>
      <c r="H9" s="135"/>
      <c r="I9" s="135"/>
    </row>
    <row r="11" spans="2:11">
      <c r="B11" s="227" t="s">
        <v>2</v>
      </c>
      <c r="C11" s="228"/>
    </row>
  </sheetData>
  <sheetProtection algorithmName="SHA-512" hashValue="ONtCzDCOrxGikJhLfeDtAYnMYW3ZU1PBivMt590ONtU87CFBJ9QtfpHxNG+koN++Dh0ldPHuWnPb3qyZiNB/jA==" saltValue="5wWLGG2/QJYaqHvAkPJT1Q==" spinCount="100000" sheet="1" selectLockedCells="1"/>
  <mergeCells count="1">
    <mergeCell ref="B11:C11"/>
  </mergeCells>
  <phoneticPr fontId="16" type="noConversion"/>
  <dataValidations count="3">
    <dataValidation type="decimal" allowBlank="1" showInputMessage="1" showErrorMessage="1" sqref="H5:I8" xr:uid="{3AE42169-FF87-427B-877C-6B5C34432263}">
      <formula1>0</formula1>
      <formula2>1</formula2>
    </dataValidation>
    <dataValidation type="decimal" allowBlank="1" showInputMessage="1" showErrorMessage="1" errorTitle="Sum" error="Sum is more than 100%" sqref="G9:I9" xr:uid="{124BE36F-BED5-45CC-8171-F142E0DD5DE5}">
      <formula1>0</formula1>
      <formula2>1</formula2>
    </dataValidation>
    <dataValidation type="decimal" allowBlank="1" showInputMessage="1" showErrorMessage="1" errorTitle="Sum" error="Sum is more than 100%" sqref="G5:G8" xr:uid="{C93BD743-1E73-4D42-AA42-D7EBD044560C}">
      <formula1>0</formula1>
      <formula2>H5</formula2>
    </dataValidation>
  </dataValidations>
  <pageMargins left="0.7" right="0.7" top="0.78740157499999996" bottom="0.78740157499999996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pageSetUpPr fitToPage="1"/>
  </sheetPr>
  <dimension ref="B1:Y63"/>
  <sheetViews>
    <sheetView showGridLines="0" tabSelected="1" zoomScale="90" zoomScaleNormal="90" workbookViewId="0">
      <selection activeCell="B32" sqref="B32:H32"/>
    </sheetView>
  </sheetViews>
  <sheetFormatPr defaultColWidth="11.42578125" defaultRowHeight="12.75"/>
  <cols>
    <col min="1" max="1" width="1.85546875" style="10" customWidth="1"/>
    <col min="2" max="2" width="8.42578125" style="10" customWidth="1"/>
    <col min="3" max="3" width="29.5703125" style="10" customWidth="1"/>
    <col min="4" max="5" width="10.140625" style="10" customWidth="1"/>
    <col min="6" max="6" width="10.140625" style="11" customWidth="1"/>
    <col min="7" max="7" width="8.28515625" style="11" customWidth="1"/>
    <col min="8" max="8" width="9.140625" style="11" customWidth="1"/>
    <col min="9" max="9" width="7.85546875" style="11" customWidth="1"/>
    <col min="10" max="10" width="7.28515625" style="10" customWidth="1"/>
    <col min="11" max="11" width="8.85546875" style="10" customWidth="1"/>
    <col min="12" max="12" width="15.140625" style="10" customWidth="1"/>
    <col min="13" max="13" width="8.140625" style="10" customWidth="1"/>
    <col min="14" max="14" width="10.28515625" style="10" customWidth="1"/>
    <col min="15" max="15" width="10.7109375" style="10" customWidth="1"/>
    <col min="16" max="16" width="8.28515625" style="10" customWidth="1"/>
    <col min="17" max="17" width="12" style="10" customWidth="1"/>
    <col min="18" max="18" width="9.140625" style="10" customWidth="1"/>
    <col min="19" max="19" width="6.42578125" style="10" customWidth="1"/>
    <col min="20" max="20" width="7.7109375" style="10" customWidth="1"/>
    <col min="21" max="21" width="8.5703125" style="10" bestFit="1" customWidth="1"/>
    <col min="22" max="22" width="1.140625" style="10" customWidth="1"/>
    <col min="23" max="23" width="11.42578125" style="10"/>
    <col min="24" max="24" width="13" style="10" customWidth="1"/>
    <col min="25" max="16384" width="11.42578125" style="10"/>
  </cols>
  <sheetData>
    <row r="1" spans="2:25" ht="26.45" customHeight="1">
      <c r="B1" s="221" t="s">
        <v>70</v>
      </c>
      <c r="E1" s="11"/>
    </row>
    <row r="2" spans="2:25" ht="13.9" customHeight="1">
      <c r="B2" s="77"/>
      <c r="C2" s="65"/>
      <c r="D2" s="65"/>
      <c r="E2" s="137"/>
      <c r="F2" s="137"/>
      <c r="G2" s="137"/>
      <c r="H2" s="137"/>
      <c r="I2" s="137"/>
      <c r="J2" s="65"/>
      <c r="K2" s="65"/>
      <c r="L2" s="65"/>
      <c r="M2" s="65"/>
      <c r="N2" s="65"/>
      <c r="O2" s="65"/>
      <c r="P2" s="65"/>
      <c r="Q2" s="65"/>
    </row>
    <row r="3" spans="2:25" ht="13.15" customHeight="1">
      <c r="B3" s="12" t="s">
        <v>83</v>
      </c>
      <c r="C3" s="13"/>
      <c r="D3" s="2" t="str">
        <f>'RP Category Calculator'!K4</f>
        <v>RP3</v>
      </c>
      <c r="E3" s="138"/>
      <c r="F3" s="13" t="str">
        <f>VLOOKUP($D$3,Presets!$A$10:$F$16,4,FALSE)</f>
        <v/>
      </c>
      <c r="G3" s="151" t="str">
        <f>VLOOKUP($D$3,Presets!$A$10:$F$12,5,FALSE)</f>
        <v/>
      </c>
      <c r="H3" s="13" t="str">
        <f>VLOOKUP($D$3,Presets!$A$10:$F$16,6,FALSE)</f>
        <v/>
      </c>
      <c r="I3" s="13"/>
      <c r="J3" s="65"/>
      <c r="K3" s="15" t="s">
        <v>42</v>
      </c>
      <c r="L3" s="16" t="str">
        <f>VLOOKUP(D3,Presets!A10:D16,2,FALSE)</f>
        <v>90</v>
      </c>
      <c r="M3" s="13" t="s">
        <v>41</v>
      </c>
      <c r="N3" s="17"/>
      <c r="O3" s="17"/>
      <c r="P3" s="65"/>
      <c r="Q3" s="65"/>
    </row>
    <row r="4" spans="2:25" ht="13.15" customHeight="1">
      <c r="B4" s="12" t="s">
        <v>15</v>
      </c>
      <c r="C4" s="12"/>
      <c r="D4" s="3" t="s">
        <v>18</v>
      </c>
      <c r="E4" s="18"/>
      <c r="F4" s="13"/>
      <c r="G4" s="13"/>
      <c r="H4" s="13"/>
      <c r="I4" s="13"/>
      <c r="J4" s="12"/>
      <c r="K4" s="12"/>
      <c r="L4" s="12"/>
      <c r="M4" s="12"/>
      <c r="N4" s="17"/>
      <c r="O4" s="17"/>
      <c r="P4" s="65"/>
      <c r="Q4" s="65"/>
      <c r="S4" s="20"/>
      <c r="T4" s="21"/>
    </row>
    <row r="5" spans="2:25" ht="13.15" customHeight="1">
      <c r="B5" s="12" t="s">
        <v>29</v>
      </c>
      <c r="C5" s="12"/>
      <c r="D5" s="3">
        <v>2</v>
      </c>
      <c r="E5" s="13"/>
      <c r="F5" s="13" t="s">
        <v>123</v>
      </c>
      <c r="G5" s="3" t="s">
        <v>53</v>
      </c>
      <c r="H5" s="13"/>
      <c r="I5" s="137"/>
      <c r="J5" s="12"/>
      <c r="K5" s="22" t="s">
        <v>47</v>
      </c>
      <c r="L5" s="229" t="str">
        <f>VLOOKUP(D3,Presets!A10:C16,3,FALSE)</f>
        <v>No restrictions on the use of 4PPoE.
Temperature increase expected.</v>
      </c>
      <c r="M5" s="230"/>
      <c r="N5" s="230"/>
      <c r="O5" s="230"/>
      <c r="P5" s="230"/>
      <c r="Q5" s="231"/>
      <c r="T5" s="21"/>
    </row>
    <row r="6" spans="2:25" ht="13.15" customHeight="1">
      <c r="B6" s="12" t="s">
        <v>33</v>
      </c>
      <c r="C6" s="12"/>
      <c r="D6" s="4">
        <v>10</v>
      </c>
      <c r="E6" s="13" t="s">
        <v>34</v>
      </c>
      <c r="F6" s="137"/>
      <c r="G6" s="137"/>
      <c r="H6" s="12"/>
      <c r="I6" s="13"/>
      <c r="J6" s="12"/>
      <c r="K6" s="12"/>
      <c r="L6" s="232"/>
      <c r="M6" s="233"/>
      <c r="N6" s="233"/>
      <c r="O6" s="233"/>
      <c r="P6" s="233"/>
      <c r="Q6" s="234"/>
      <c r="T6" s="21"/>
    </row>
    <row r="7" spans="2:25" ht="13.15" customHeight="1">
      <c r="B7" s="12" t="s">
        <v>35</v>
      </c>
      <c r="C7" s="12"/>
      <c r="D7" s="4">
        <v>1.5</v>
      </c>
      <c r="E7" s="13"/>
      <c r="F7" s="13"/>
      <c r="G7" s="13"/>
      <c r="H7" s="13"/>
      <c r="I7" s="13"/>
      <c r="J7" s="12"/>
      <c r="K7" s="12"/>
      <c r="L7" s="12"/>
      <c r="M7" s="12"/>
      <c r="N7" s="12"/>
      <c r="O7" s="12"/>
      <c r="P7" s="23"/>
      <c r="Q7" s="139"/>
      <c r="R7" s="21"/>
      <c r="S7" s="20"/>
      <c r="T7" s="21"/>
    </row>
    <row r="8" spans="2:25" ht="13.15" customHeight="1">
      <c r="B8" s="12" t="s">
        <v>38</v>
      </c>
      <c r="C8" s="13"/>
      <c r="D8" s="5">
        <v>60</v>
      </c>
      <c r="E8" s="18" t="s">
        <v>39</v>
      </c>
      <c r="F8" s="13" t="s">
        <v>140</v>
      </c>
      <c r="G8" s="3" t="s">
        <v>126</v>
      </c>
      <c r="H8" s="13"/>
      <c r="I8" s="13"/>
      <c r="J8" s="12"/>
      <c r="K8" s="22" t="s">
        <v>37</v>
      </c>
      <c r="L8" s="24">
        <f>VLOOKUP(D$4,Presets!$A$53:$D$57,D$5,FALSE)</f>
        <v>109</v>
      </c>
      <c r="M8" s="12" t="s">
        <v>34</v>
      </c>
      <c r="N8" s="12"/>
      <c r="O8" s="12"/>
      <c r="P8" s="23"/>
      <c r="Q8" s="139"/>
      <c r="R8" s="21"/>
      <c r="S8" s="20"/>
      <c r="T8" s="21"/>
    </row>
    <row r="9" spans="2:25">
      <c r="B9" s="65"/>
      <c r="C9" s="65"/>
      <c r="D9" s="65"/>
      <c r="E9" s="65"/>
      <c r="F9" s="137"/>
      <c r="G9" s="137"/>
      <c r="H9" s="137"/>
      <c r="I9" s="137"/>
      <c r="J9" s="65"/>
      <c r="K9" s="65"/>
      <c r="L9" s="65"/>
      <c r="M9" s="65"/>
      <c r="N9" s="65"/>
      <c r="O9" s="65"/>
      <c r="P9" s="65"/>
      <c r="Q9" s="65"/>
      <c r="S9" s="25"/>
      <c r="T9" s="25"/>
      <c r="U9" s="25"/>
    </row>
    <row r="10" spans="2:25" ht="49.5" customHeight="1">
      <c r="B10" s="123" t="s">
        <v>40</v>
      </c>
      <c r="C10" s="140" t="s">
        <v>3</v>
      </c>
      <c r="D10" s="123" t="s">
        <v>6</v>
      </c>
      <c r="E10" s="123" t="s">
        <v>5</v>
      </c>
      <c r="F10" s="123" t="s">
        <v>161</v>
      </c>
      <c r="G10" s="123" t="s">
        <v>84</v>
      </c>
      <c r="H10" s="123" t="s">
        <v>62</v>
      </c>
      <c r="I10" s="123" t="s">
        <v>163</v>
      </c>
      <c r="J10" s="123" t="s">
        <v>162</v>
      </c>
      <c r="K10" s="123" t="s">
        <v>65</v>
      </c>
      <c r="L10" s="123" t="s">
        <v>66</v>
      </c>
      <c r="M10" s="123" t="s">
        <v>164</v>
      </c>
      <c r="N10" s="123" t="s">
        <v>127</v>
      </c>
      <c r="O10" s="123" t="s">
        <v>61</v>
      </c>
      <c r="P10" s="123" t="s">
        <v>63</v>
      </c>
      <c r="Q10" s="123" t="s">
        <v>165</v>
      </c>
      <c r="T10" s="27"/>
      <c r="U10" s="27"/>
      <c r="X10" s="28"/>
    </row>
    <row r="11" spans="2:25" ht="25.15" customHeight="1">
      <c r="B11" s="123" t="s">
        <v>136</v>
      </c>
      <c r="C11" s="29" t="s">
        <v>128</v>
      </c>
      <c r="D11" s="30">
        <f>1/D7</f>
        <v>0.66666666666666663</v>
      </c>
      <c r="E11" s="31">
        <f>VLOOKUP($D$7,Presets!$A$21:$C$23,2,FALSE)</f>
        <v>6</v>
      </c>
      <c r="F11" s="31">
        <f>VLOOKUP($D$7,Presets!$A$21:$C$23,3,FALSE)</f>
        <v>13</v>
      </c>
      <c r="G11" s="6">
        <v>35</v>
      </c>
      <c r="H11" s="150">
        <v>24</v>
      </c>
      <c r="I11" s="226">
        <v>0</v>
      </c>
      <c r="J11" s="30">
        <f>IF(I11=0,0,IF(H11&gt;I11/E11,I11,H11*E11)/(IF(H11&gt;I11/E11,(H11/(I11/E11)-1)*E11*SQRT(3)/2,0)+E11))</f>
        <v>0</v>
      </c>
      <c r="K11" s="30">
        <f>IF(J11&lt;=1,1,IF(J11&lt;=10,0.0035*J11*J11-0.0825*J11+0.9868,0.6718-J11*0.016))</f>
        <v>1</v>
      </c>
      <c r="L11" s="30" t="s">
        <v>80</v>
      </c>
      <c r="M11" s="32">
        <f>(3.2*H11+VLOOKUP(L11,Presets!$A$15:$D$18,2,FALSE)*SQRT(H11)/E11*1000)*VLOOKUP($D$3,Presets!$A$10:$G$12,7,FALSE)^2*F11/100*K11</f>
        <v>8.6311553090909339</v>
      </c>
      <c r="N11" s="33">
        <f>G11+M11</f>
        <v>43.631155309090936</v>
      </c>
      <c r="O11" s="31">
        <f>VLOOKUP(G5,Presets!G15:H16,2,FALSE)</f>
        <v>0.2</v>
      </c>
      <c r="P11" s="31">
        <f>ROUNDDOWN(IF(D5=4,D6/3*2,D6/2),0)</f>
        <v>5</v>
      </c>
      <c r="Q11" s="32">
        <f>(P11+(P11*((N11-20)*O11/100))+IF(O11=0.4,IF(N11&gt;40,((P11*((N11-40)*0.002))),0),0))/D11</f>
        <v>7.854467329636365</v>
      </c>
      <c r="T11" s="27"/>
      <c r="U11" s="27"/>
      <c r="X11" s="28"/>
    </row>
    <row r="12" spans="2:25" ht="25.15" customHeight="1">
      <c r="B12" s="39">
        <v>1</v>
      </c>
      <c r="C12" s="4" t="s">
        <v>1</v>
      </c>
      <c r="D12" s="30">
        <f>VLOOKUP(C12,Presets!$A$26:$K$49,VLOOKUP($D$4,Presets!$A$53:$E$57,5,FALSE),FALSE)</f>
        <v>1</v>
      </c>
      <c r="E12" s="31">
        <f>VLOOKUP($C12,Presets!$A$26:$K$49,2,FALSE)</f>
        <v>5</v>
      </c>
      <c r="F12" s="31">
        <f>VLOOKUP($C12,Presets!$A$26:$K$49,3,FALSE)</f>
        <v>9.5</v>
      </c>
      <c r="G12" s="6">
        <v>25</v>
      </c>
      <c r="H12" s="6">
        <v>200</v>
      </c>
      <c r="I12" s="7">
        <v>200</v>
      </c>
      <c r="J12" s="30">
        <f>IF(I12=0,0,IF(H12&gt;I12/E12,I12,H12*E12)/(IF(H12&gt;I12/E12,(H12/(I12/E12)-1)*E12*SQRT(3)/2,0)+E12))</f>
        <v>8.9603695095918354</v>
      </c>
      <c r="K12" s="30">
        <f>IF(J12&lt;=1,1,IF(J12&lt;=10,0.0035*J12*J12-0.0825*J12+0.9868,0.6718-J12*0.016))</f>
        <v>0.52857829157815417</v>
      </c>
      <c r="L12" s="8" t="s">
        <v>80</v>
      </c>
      <c r="M12" s="32">
        <f>(3.2*H12-IF(G$8="Yes",H12*VLOOKUP(C12,Presets!$A$26:$K$49,10,FALSE),0)+VLOOKUP(L12,Presets!$A$15:$D$18,2,FALSE)*SQRT(H12)/E12*1000)*VLOOKUP($D$3,Presets!$A$10:$G$12,7,FALSE)^2*F12/100*K12</f>
        <v>16.243683101374963</v>
      </c>
      <c r="N12" s="33">
        <f>G12+M12</f>
        <v>41.243683101374963</v>
      </c>
      <c r="O12" s="31">
        <f>VLOOKUP(C12,Presets!$A$26:$K$49,9,FALSE)</f>
        <v>0.2</v>
      </c>
      <c r="P12" s="9">
        <v>40</v>
      </c>
      <c r="Q12" s="32">
        <f>IF(C12&lt;&gt;"NA",(P12+(P12*((N12-20)*O12/100))+IF(O12=0.4,IF(N12&gt;40,((P12*((N12-40)*0.002))),0),0))/D12,0)</f>
        <v>41.699494648109997</v>
      </c>
      <c r="T12" s="35"/>
      <c r="U12" s="35"/>
      <c r="X12" s="36"/>
      <c r="Y12" s="37"/>
    </row>
    <row r="13" spans="2:25" ht="25.15" customHeight="1">
      <c r="B13" s="217">
        <v>2</v>
      </c>
      <c r="C13" s="219" t="str">
        <f>C12</f>
        <v>Cat5e/s (AWG24)</v>
      </c>
      <c r="D13" s="216">
        <f>VLOOKUP(C13,Presets!$A$26:$K$49,VLOOKUP($D$4,Presets!$A$53:$E$57,5,FALSE),FALSE)</f>
        <v>1</v>
      </c>
      <c r="E13" s="31">
        <f>VLOOKUP($C13,Presets!$A$26:$K$49,2,FALSE)</f>
        <v>5</v>
      </c>
      <c r="F13" s="31">
        <f>VLOOKUP($C13,Presets!$A$26:$K$49,3,FALSE)</f>
        <v>9.5</v>
      </c>
      <c r="G13" s="6">
        <v>25</v>
      </c>
      <c r="H13" s="6">
        <f>IF(C13="NA",0,75)</f>
        <v>75</v>
      </c>
      <c r="I13" s="6">
        <f>IF(C13="NA",0,100)</f>
        <v>100</v>
      </c>
      <c r="J13" s="30">
        <f>IF(I13=0,0,IF(H13&gt;I13/E13,I13,H13*E13)/(IF(H13&gt;I13/E13,(H13/(I13/E13)-1)*E13*SQRT(3)/2,0)+E13))</f>
        <v>5.9144127803385418</v>
      </c>
      <c r="K13" s="30">
        <f t="shared" ref="K13:K15" si="0">IF(J13&lt;=1,1,IF(J13&lt;=10,0.0035*J13*J13-0.0825*J13+0.9868,0.6718-J13*0.016))</f>
        <v>0.62129192049888182</v>
      </c>
      <c r="L13" s="8" t="s">
        <v>142</v>
      </c>
      <c r="M13" s="32">
        <f>(3.2*H13-IF(G$8="Yes",H13*VLOOKUP(C13,Presets!$A$26:$K$49,10,FALSE),0)+VLOOKUP(L13,Presets!$A$15:$D$18,2,FALSE)*SQRT(H13)/E13*1000)*VLOOKUP($D$3,Presets!$A$10:$G$12,7,FALSE)^2*F13/100*K13</f>
        <v>11.433548618956836</v>
      </c>
      <c r="N13" s="33">
        <f>G13+M13</f>
        <v>36.433548618956834</v>
      </c>
      <c r="O13" s="31">
        <f>VLOOKUP(C13,Presets!$A$26:$K$49,9,FALSE)</f>
        <v>0.2</v>
      </c>
      <c r="P13" s="9">
        <f>IF(C13="NA",0,30)</f>
        <v>30</v>
      </c>
      <c r="Q13" s="32">
        <f>IF(C13&lt;&gt;"NA",(P13+(P13*((N13-20)*O13/100))+IF(O13=0.4,IF(N13&gt;40,((P13*((N13-40)*0.002))),0),0))/D13,0)</f>
        <v>30.986012917137408</v>
      </c>
      <c r="T13" s="35"/>
      <c r="U13" s="35"/>
      <c r="X13" s="38"/>
    </row>
    <row r="14" spans="2:25" ht="25.15" customHeight="1">
      <c r="B14" s="217">
        <v>3</v>
      </c>
      <c r="C14" s="220" t="str">
        <f>C12</f>
        <v>Cat5e/s (AWG24)</v>
      </c>
      <c r="D14" s="218">
        <f>VLOOKUP(C14,Presets!$A$26:$K$49,VLOOKUP($D$4,Presets!$A$53:$E$57,5,FALSE),FALSE)</f>
        <v>1</v>
      </c>
      <c r="E14" s="31">
        <f>VLOOKUP($C14,Presets!$A$26:$K$49,2,FALSE)</f>
        <v>5</v>
      </c>
      <c r="F14" s="31">
        <f>VLOOKUP($C14,Presets!$A$26:$K$49,3,FALSE)</f>
        <v>9.5</v>
      </c>
      <c r="G14" s="6">
        <v>25</v>
      </c>
      <c r="H14" s="6">
        <f>IF(C14="NA",0,24)</f>
        <v>24</v>
      </c>
      <c r="I14" s="6">
        <f>IF(C14="NA",0,50)</f>
        <v>50</v>
      </c>
      <c r="J14" s="30">
        <f>IF(I14=0,0,IF(H14&gt;I14/E14,I14,H14*E14)/(IF(H14&gt;I14/E14,(H14/(I14/E14)-1)*E14*SQRT(3)/2,0)+E14))</f>
        <v>4.5199056446428534</v>
      </c>
      <c r="K14" s="30">
        <f t="shared" si="0"/>
        <v>0.68541119894462477</v>
      </c>
      <c r="L14" s="8" t="s">
        <v>143</v>
      </c>
      <c r="M14" s="32">
        <f>(3.2*H14-IF(G$8="Yes",H14*VLOOKUP(C14,Presets!$A$26:$K$49,10,FALSE),0)+VLOOKUP(L14,Presets!$A$15:$D$18,2,FALSE)*SQRT(H14)/E14*1000)*VLOOKUP($D$3,Presets!$A$10:$G$12,7,FALSE)^2*F14/100*K14</f>
        <v>8.9060091452753127</v>
      </c>
      <c r="N14" s="33">
        <f>G14+M14</f>
        <v>33.906009145275313</v>
      </c>
      <c r="O14" s="31">
        <f>VLOOKUP(C14,Presets!$A$26:$K$49,9,FALSE)</f>
        <v>0.2</v>
      </c>
      <c r="P14" s="9">
        <f>IF(C14="NA",0,20)</f>
        <v>20</v>
      </c>
      <c r="Q14" s="32">
        <f>IF(C14&lt;&gt;"NA",(P14+(P14*((N14-20)*O14/100))+IF(O14=0.4,IF(N14&gt;40,((P14*((N14-40)*0.002))),0),0))/D14,0)</f>
        <v>20.556240365811014</v>
      </c>
      <c r="T14" s="35"/>
      <c r="U14" s="35"/>
      <c r="X14" s="38"/>
    </row>
    <row r="15" spans="2:25" ht="25.15" customHeight="1">
      <c r="B15" s="39" t="s">
        <v>137</v>
      </c>
      <c r="C15" s="215" t="s">
        <v>129</v>
      </c>
      <c r="D15" s="30">
        <f>1/D7</f>
        <v>0.66666666666666663</v>
      </c>
      <c r="E15" s="31">
        <f>VLOOKUP($D$7,Presets!$A$21:$C$23,2,FALSE)</f>
        <v>6</v>
      </c>
      <c r="F15" s="31">
        <f>VLOOKUP($D$7,Presets!$A$21:$C$23,3,FALSE)</f>
        <v>13</v>
      </c>
      <c r="G15" s="6">
        <v>25</v>
      </c>
      <c r="H15" s="150">
        <v>1</v>
      </c>
      <c r="I15" s="226">
        <v>0</v>
      </c>
      <c r="J15" s="30">
        <f>IF(I15=0,0,IF(H15&gt;I15/E15,I15,H15*E15)/(IF(H15&gt;I15/E15,(H15/(I15/E15)-1)*E15*SQRT(3)/2,0)+E15))</f>
        <v>0</v>
      </c>
      <c r="K15" s="30">
        <f t="shared" si="0"/>
        <v>1</v>
      </c>
      <c r="L15" s="30" t="s">
        <v>80</v>
      </c>
      <c r="M15" s="32">
        <f>(3.2*H15+VLOOKUP(L15,Presets!$A$15:$D$18,2,FALSE)*SQRT(H15)/E15*1000)*VLOOKUP($D$3,Presets!$A$10:$G$12,7,FALSE)^2*F15/100*K15</f>
        <v>1.3563333333333332</v>
      </c>
      <c r="N15" s="33">
        <f>G15+M15</f>
        <v>26.356333333333332</v>
      </c>
      <c r="O15" s="31">
        <f>VLOOKUP(G5,Presets!G15:H16,2,FALSE)</f>
        <v>0.2</v>
      </c>
      <c r="P15" s="31">
        <f>D6-P11</f>
        <v>5</v>
      </c>
      <c r="Q15" s="32">
        <f>(P15+(P15*((N15-20)*O15/100))+IF(O15=0.4,IF(N15&gt;40,((P15*((N15-40)*0.002))),0),0))/D15</f>
        <v>7.5953450000000009</v>
      </c>
      <c r="T15" s="35"/>
      <c r="U15" s="35"/>
      <c r="X15" s="38"/>
    </row>
    <row r="16" spans="2:25" ht="13.5" thickBot="1">
      <c r="B16" s="42"/>
      <c r="C16" s="141"/>
      <c r="D16" s="142"/>
      <c r="E16" s="40"/>
      <c r="F16" s="40"/>
      <c r="G16" s="35"/>
      <c r="H16" s="41"/>
      <c r="I16" s="41"/>
      <c r="J16" s="42"/>
      <c r="K16" s="43"/>
      <c r="L16" s="43"/>
      <c r="M16" s="43"/>
      <c r="N16" s="44"/>
      <c r="O16" s="35"/>
      <c r="P16" s="41"/>
      <c r="Q16" s="35"/>
      <c r="R16" s="35"/>
      <c r="S16" s="45"/>
      <c r="T16" s="35"/>
      <c r="U16" s="35"/>
      <c r="X16" s="38"/>
    </row>
    <row r="17" spans="2:24" ht="13.15" customHeight="1" thickBot="1">
      <c r="B17" s="12"/>
      <c r="C17" s="12"/>
      <c r="D17" s="143"/>
      <c r="E17" s="46"/>
      <c r="F17" s="46"/>
      <c r="G17" s="47"/>
      <c r="H17" s="48"/>
      <c r="I17" s="48"/>
      <c r="J17" s="49"/>
      <c r="K17" s="50"/>
      <c r="L17" s="50"/>
      <c r="M17" s="242" t="s">
        <v>139</v>
      </c>
      <c r="N17" s="243"/>
      <c r="O17" s="243"/>
      <c r="P17" s="243"/>
      <c r="Q17" s="51">
        <f>IF(C12&lt;&gt;"NA",P12,0)+IF(C13&lt;&gt;"NA",P13,0)+IF(C14&lt;&gt;"NA",P14,0)</f>
        <v>90</v>
      </c>
      <c r="S17" s="45"/>
      <c r="T17" s="35"/>
      <c r="U17" s="35"/>
      <c r="X17" s="38"/>
    </row>
    <row r="18" spans="2:24" ht="14.45" customHeight="1">
      <c r="B18" s="145"/>
      <c r="C18" s="146" t="s">
        <v>2</v>
      </c>
      <c r="D18" s="143"/>
      <c r="E18" s="46"/>
      <c r="F18" s="46"/>
      <c r="G18" s="47"/>
      <c r="H18" s="48"/>
      <c r="I18" s="48"/>
      <c r="J18" s="49"/>
      <c r="K18" s="50"/>
      <c r="L18" s="50"/>
      <c r="M18" s="242" t="s">
        <v>69</v>
      </c>
      <c r="N18" s="243"/>
      <c r="O18" s="243"/>
      <c r="P18" s="244"/>
      <c r="Q18" s="53">
        <f>Q17+D6</f>
        <v>100</v>
      </c>
      <c r="S18" s="45"/>
      <c r="T18" s="35"/>
      <c r="U18" s="35"/>
      <c r="X18" s="38"/>
    </row>
    <row r="19" spans="2:24" ht="13.5" thickBot="1">
      <c r="B19" s="52"/>
      <c r="C19" s="52"/>
      <c r="D19" s="12"/>
      <c r="E19" s="12"/>
      <c r="F19" s="13"/>
      <c r="G19" s="13"/>
      <c r="H19" s="13"/>
      <c r="I19" s="13"/>
      <c r="J19" s="12"/>
      <c r="K19" s="12"/>
      <c r="L19" s="12"/>
      <c r="M19" s="242" t="s">
        <v>67</v>
      </c>
      <c r="N19" s="243"/>
      <c r="O19" s="243"/>
      <c r="P19" s="244"/>
      <c r="Q19" s="54">
        <f>SUM(Q11:Q15)</f>
        <v>108.69156026069477</v>
      </c>
      <c r="S19" s="25"/>
      <c r="T19" s="35"/>
      <c r="U19" s="55"/>
    </row>
    <row r="20" spans="2:24" ht="13.5" thickBot="1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44"/>
      <c r="M20" s="242" t="s">
        <v>138</v>
      </c>
      <c r="N20" s="243"/>
      <c r="O20" s="243"/>
      <c r="P20" s="243"/>
      <c r="Q20" s="56">
        <f>L8-Q19</f>
        <v>0.3084397393052285</v>
      </c>
      <c r="S20" s="57"/>
      <c r="T20" s="58"/>
      <c r="U20" s="59"/>
      <c r="V20" s="60"/>
    </row>
    <row r="21" spans="2:24" ht="26.1" customHeight="1">
      <c r="B21" s="61" t="s">
        <v>47</v>
      </c>
      <c r="C21" s="249" t="s">
        <v>167</v>
      </c>
      <c r="D21" s="249"/>
      <c r="E21" s="249"/>
      <c r="F21" s="249"/>
      <c r="G21" s="249"/>
      <c r="H21" s="249"/>
      <c r="I21" s="249"/>
      <c r="J21" s="249"/>
      <c r="K21" s="249"/>
      <c r="L21" s="139"/>
      <c r="M21" s="245" t="s">
        <v>68</v>
      </c>
      <c r="N21" s="245"/>
      <c r="O21" s="245"/>
      <c r="P21" s="245"/>
      <c r="Q21" s="62">
        <f>((N11)*P11+(N12)*P12+(N13)*P13+(N14)*P14+(N15)*P15)/Q18</f>
        <v>37.708114087413314</v>
      </c>
      <c r="S21" s="57"/>
      <c r="T21" s="58"/>
      <c r="U21" s="59"/>
      <c r="V21" s="60"/>
    </row>
    <row r="22" spans="2:24">
      <c r="B22" s="63"/>
      <c r="C22" s="63"/>
      <c r="D22" s="64"/>
      <c r="E22" s="65"/>
      <c r="F22" s="64"/>
      <c r="G22" s="64"/>
      <c r="H22" s="64"/>
      <c r="I22" s="64"/>
      <c r="J22" s="65"/>
      <c r="K22" s="65"/>
      <c r="L22" s="139"/>
      <c r="M22" s="246" t="s">
        <v>85</v>
      </c>
      <c r="N22" s="246"/>
      <c r="O22" s="246"/>
      <c r="P22" s="246"/>
      <c r="Q22" s="62">
        <f>(L8-D6*D7)-(((L8-D6*D7)*((Q21-20)*AVERAGE(O12:O14)/100)))-IF(AVERAGE(O12:O14)=0.4,IF(Q21&gt;40,(((L8-D6*D7)*((Q21-40)*0.002))),0),0)+D6-((D6*((Q21-20)*AVERAGE(O12:O14)/100)))-IF(AVERAGE(O12:O14)=0.4,IF(Q21&gt;40,((D6*((Q21-40)*0.002))),0),0)</f>
        <v>100.31671226981803</v>
      </c>
      <c r="S22" s="57"/>
      <c r="T22" s="58"/>
      <c r="U22" s="65"/>
      <c r="V22" s="60"/>
    </row>
    <row r="23" spans="2:24">
      <c r="B23" s="66"/>
      <c r="C23" s="67"/>
      <c r="V23" s="68"/>
    </row>
    <row r="24" spans="2:24">
      <c r="C24" s="69"/>
      <c r="D24" s="65"/>
      <c r="J24" s="70" t="s">
        <v>55</v>
      </c>
      <c r="K24" s="71"/>
      <c r="L24" s="71"/>
      <c r="M24" s="71"/>
      <c r="N24" s="71"/>
      <c r="O24" s="71"/>
      <c r="P24" s="71"/>
      <c r="Q24" s="72"/>
      <c r="V24" s="1"/>
    </row>
    <row r="25" spans="2:24" ht="26.25" customHeight="1">
      <c r="J25" s="247" t="s">
        <v>57</v>
      </c>
      <c r="K25" s="248"/>
      <c r="L25" s="248"/>
      <c r="M25" s="1"/>
      <c r="N25" s="240" t="str">
        <f>VLOOKUP(D4,Presets!A61:B65,2,FALSE)</f>
        <v>Cat.5e or Cat.6</v>
      </c>
      <c r="O25" s="240"/>
      <c r="P25" s="240"/>
      <c r="Q25" s="241"/>
    </row>
    <row r="26" spans="2:24" ht="67.5" customHeight="1">
      <c r="J26" s="237"/>
      <c r="K26" s="235"/>
      <c r="L26" s="235"/>
      <c r="M26" s="235"/>
      <c r="N26" s="235"/>
      <c r="O26" s="235"/>
      <c r="P26" s="235"/>
      <c r="Q26" s="236"/>
    </row>
    <row r="27" spans="2:24" ht="15" customHeight="1">
      <c r="J27" s="73"/>
      <c r="K27" s="1"/>
      <c r="L27" s="1"/>
      <c r="M27" s="1"/>
      <c r="N27" s="1"/>
      <c r="O27" s="1"/>
      <c r="P27" s="1"/>
      <c r="Q27" s="74"/>
    </row>
    <row r="28" spans="2:24" ht="16.149999999999999" customHeight="1">
      <c r="J28" s="238" t="s">
        <v>59</v>
      </c>
      <c r="K28" s="239"/>
      <c r="L28" s="239"/>
      <c r="M28" s="239"/>
      <c r="N28" s="240" t="str">
        <f>VLOOKUP(D4,Presets!A61:K65,11,FALSE)</f>
        <v>Cat.5e</v>
      </c>
      <c r="O28" s="240"/>
      <c r="P28" s="240"/>
      <c r="Q28" s="241"/>
    </row>
    <row r="29" spans="2:24" ht="64.5" customHeight="1">
      <c r="J29" s="252"/>
      <c r="K29" s="253"/>
      <c r="L29" s="253"/>
      <c r="M29" s="253"/>
      <c r="N29" s="254"/>
      <c r="O29" s="254"/>
      <c r="P29" s="254"/>
      <c r="Q29" s="255"/>
    </row>
    <row r="30" spans="2:24" ht="14.25" customHeight="1"/>
    <row r="31" spans="2:24" ht="15.75" customHeight="1">
      <c r="B31" s="75" t="s">
        <v>168</v>
      </c>
      <c r="H31" s="76"/>
      <c r="I31" s="77"/>
      <c r="J31" s="75" t="s">
        <v>60</v>
      </c>
    </row>
    <row r="32" spans="2:24" ht="45.75" customHeight="1">
      <c r="B32" s="250"/>
      <c r="C32" s="250"/>
      <c r="D32" s="250"/>
      <c r="E32" s="250"/>
      <c r="F32" s="250"/>
      <c r="G32" s="250"/>
      <c r="H32" s="250"/>
      <c r="I32" s="78"/>
      <c r="J32" s="250"/>
      <c r="K32" s="251"/>
      <c r="L32" s="251"/>
      <c r="M32" s="251"/>
      <c r="N32" s="251"/>
      <c r="O32" s="251"/>
      <c r="P32" s="251"/>
      <c r="Q32" s="251"/>
    </row>
    <row r="36" spans="8:15">
      <c r="H36" s="79"/>
      <c r="I36" s="79"/>
      <c r="J36" s="21"/>
      <c r="K36" s="21"/>
      <c r="L36" s="21"/>
      <c r="M36" s="21"/>
      <c r="N36" s="21"/>
      <c r="O36" s="21"/>
    </row>
    <row r="37" spans="8:15">
      <c r="H37" s="79"/>
      <c r="I37" s="79"/>
      <c r="J37" s="21"/>
      <c r="K37" s="21"/>
      <c r="L37" s="21"/>
      <c r="M37" s="21"/>
      <c r="N37" s="21"/>
      <c r="O37" s="21"/>
    </row>
    <row r="38" spans="8:15">
      <c r="H38" s="79"/>
      <c r="I38" s="79"/>
      <c r="J38" s="80"/>
      <c r="K38" s="80"/>
      <c r="L38" s="80"/>
      <c r="M38" s="21"/>
      <c r="N38" s="21"/>
      <c r="O38" s="21"/>
    </row>
    <row r="39" spans="8:15">
      <c r="H39" s="79"/>
      <c r="I39" s="79"/>
      <c r="J39" s="80"/>
      <c r="K39" s="80"/>
      <c r="L39" s="80"/>
      <c r="M39" s="21"/>
      <c r="N39" s="21"/>
      <c r="O39" s="21"/>
    </row>
    <row r="40" spans="8:15">
      <c r="H40" s="79"/>
      <c r="I40" s="79"/>
      <c r="J40" s="80"/>
      <c r="K40" s="80"/>
      <c r="L40" s="80"/>
      <c r="M40" s="21"/>
      <c r="N40" s="21"/>
      <c r="O40" s="21"/>
    </row>
    <row r="41" spans="8:15">
      <c r="H41" s="79"/>
      <c r="I41" s="79"/>
      <c r="J41" s="80"/>
      <c r="K41" s="80"/>
      <c r="L41" s="80"/>
      <c r="M41" s="21"/>
      <c r="N41" s="21"/>
      <c r="O41" s="21"/>
    </row>
    <row r="42" spans="8:15">
      <c r="H42" s="79"/>
      <c r="I42" s="79"/>
      <c r="J42" s="80"/>
      <c r="K42" s="80"/>
      <c r="L42" s="80"/>
      <c r="M42" s="21"/>
      <c r="N42" s="21"/>
      <c r="O42" s="21"/>
    </row>
    <row r="43" spans="8:15">
      <c r="H43" s="79"/>
      <c r="I43" s="79"/>
      <c r="J43" s="80"/>
      <c r="K43" s="80"/>
      <c r="L43" s="80"/>
      <c r="M43" s="21"/>
      <c r="N43" s="21"/>
      <c r="O43" s="21"/>
    </row>
    <row r="44" spans="8:15">
      <c r="H44" s="79"/>
      <c r="I44" s="79"/>
      <c r="J44" s="80"/>
      <c r="K44" s="80"/>
      <c r="L44" s="80"/>
      <c r="M44" s="21"/>
      <c r="N44" s="21"/>
      <c r="O44" s="21"/>
    </row>
    <row r="45" spans="8:15">
      <c r="H45" s="79"/>
      <c r="I45" s="79"/>
      <c r="J45" s="80"/>
      <c r="K45" s="80"/>
      <c r="L45" s="80"/>
      <c r="M45" s="21"/>
      <c r="N45" s="21"/>
      <c r="O45" s="21"/>
    </row>
    <row r="46" spans="8:15">
      <c r="H46" s="79"/>
      <c r="I46" s="79"/>
      <c r="J46" s="80"/>
      <c r="K46" s="80"/>
      <c r="L46" s="80"/>
      <c r="M46" s="21"/>
      <c r="N46" s="21"/>
      <c r="O46" s="21"/>
    </row>
    <row r="47" spans="8:15">
      <c r="H47" s="79"/>
      <c r="I47" s="79"/>
      <c r="J47" s="21"/>
      <c r="K47" s="21"/>
      <c r="L47" s="21"/>
      <c r="M47" s="21"/>
      <c r="N47" s="21"/>
      <c r="O47" s="21"/>
    </row>
    <row r="48" spans="8:15">
      <c r="H48" s="79"/>
      <c r="I48" s="79"/>
      <c r="J48" s="21"/>
      <c r="K48" s="21"/>
      <c r="L48" s="21"/>
      <c r="M48" s="21"/>
      <c r="N48" s="21"/>
      <c r="O48" s="21"/>
    </row>
    <row r="49" spans="8:15">
      <c r="H49" s="79"/>
      <c r="I49" s="79"/>
      <c r="J49" s="21"/>
      <c r="K49" s="21"/>
      <c r="L49" s="21"/>
      <c r="M49" s="21"/>
      <c r="N49" s="21"/>
      <c r="O49" s="21"/>
    </row>
    <row r="50" spans="8:15">
      <c r="H50" s="79"/>
      <c r="I50" s="79"/>
      <c r="J50" s="21"/>
      <c r="K50" s="21"/>
      <c r="L50" s="21"/>
      <c r="M50" s="21"/>
      <c r="N50" s="21"/>
      <c r="O50" s="21"/>
    </row>
    <row r="51" spans="8:15">
      <c r="H51" s="79"/>
      <c r="I51" s="79"/>
      <c r="J51" s="81"/>
      <c r="K51" s="80"/>
      <c r="L51" s="80"/>
      <c r="M51" s="21"/>
      <c r="N51" s="21"/>
      <c r="O51" s="21"/>
    </row>
    <row r="52" spans="8:15">
      <c r="H52" s="79"/>
      <c r="I52" s="79"/>
      <c r="J52" s="81"/>
      <c r="K52" s="80"/>
      <c r="L52" s="80"/>
      <c r="M52" s="21"/>
      <c r="N52" s="21"/>
      <c r="O52" s="21"/>
    </row>
    <row r="53" spans="8:15">
      <c r="H53" s="79"/>
      <c r="I53" s="79"/>
      <c r="J53" s="81"/>
      <c r="K53" s="80"/>
      <c r="L53" s="80"/>
      <c r="M53" s="21"/>
      <c r="N53" s="21"/>
      <c r="O53" s="21"/>
    </row>
    <row r="54" spans="8:15">
      <c r="H54" s="79"/>
      <c r="I54" s="79"/>
      <c r="J54" s="81"/>
      <c r="K54" s="80"/>
      <c r="L54" s="80"/>
      <c r="M54" s="21"/>
      <c r="N54" s="21"/>
      <c r="O54" s="21"/>
    </row>
    <row r="55" spans="8:15">
      <c r="H55" s="79"/>
      <c r="I55" s="79"/>
      <c r="J55" s="81"/>
      <c r="K55" s="80"/>
      <c r="L55" s="80"/>
      <c r="M55" s="21"/>
      <c r="N55" s="21"/>
      <c r="O55" s="21"/>
    </row>
    <row r="56" spans="8:15">
      <c r="H56" s="79"/>
      <c r="I56" s="79"/>
      <c r="J56" s="81"/>
      <c r="K56" s="80"/>
      <c r="L56" s="80"/>
      <c r="M56" s="21"/>
      <c r="N56" s="21"/>
      <c r="O56" s="21"/>
    </row>
    <row r="57" spans="8:15">
      <c r="H57" s="79"/>
      <c r="I57" s="79"/>
      <c r="J57" s="81"/>
      <c r="K57" s="80"/>
      <c r="L57" s="80"/>
      <c r="M57" s="21"/>
      <c r="N57" s="21"/>
      <c r="O57" s="21"/>
    </row>
    <row r="58" spans="8:15">
      <c r="H58" s="79"/>
      <c r="I58" s="79"/>
      <c r="J58" s="81"/>
      <c r="K58" s="80"/>
      <c r="L58" s="80"/>
      <c r="M58" s="21"/>
      <c r="N58" s="21"/>
      <c r="O58" s="21"/>
    </row>
    <row r="59" spans="8:15">
      <c r="H59" s="79"/>
      <c r="I59" s="79"/>
      <c r="J59" s="81"/>
      <c r="K59" s="80"/>
      <c r="L59" s="80"/>
      <c r="M59" s="21"/>
      <c r="N59" s="21"/>
      <c r="O59" s="21"/>
    </row>
    <row r="60" spans="8:15">
      <c r="H60" s="79"/>
      <c r="I60" s="79"/>
      <c r="J60" s="21"/>
      <c r="K60" s="21"/>
      <c r="L60" s="21"/>
      <c r="M60" s="21"/>
      <c r="N60" s="21"/>
      <c r="O60" s="21"/>
    </row>
    <row r="61" spans="8:15">
      <c r="H61" s="79"/>
      <c r="I61" s="79"/>
      <c r="J61" s="21"/>
      <c r="K61" s="21"/>
      <c r="L61" s="21"/>
      <c r="M61" s="21"/>
      <c r="N61" s="21"/>
      <c r="O61" s="21"/>
    </row>
    <row r="62" spans="8:15">
      <c r="H62" s="79"/>
      <c r="I62" s="79"/>
      <c r="J62" s="21"/>
      <c r="K62" s="21"/>
      <c r="L62" s="21"/>
      <c r="M62" s="21"/>
      <c r="N62" s="21"/>
      <c r="O62" s="21"/>
    </row>
    <row r="63" spans="8:15">
      <c r="H63" s="79"/>
      <c r="I63" s="79"/>
      <c r="J63" s="21"/>
      <c r="K63" s="21"/>
      <c r="L63" s="21"/>
      <c r="M63" s="21"/>
      <c r="N63" s="21"/>
      <c r="O63" s="21"/>
    </row>
  </sheetData>
  <sheetProtection algorithmName="SHA-512" hashValue="9slnGDurJCgrBVOAlMAv3VfrtkjrsWO181LryTTmY+EHdCRbu2/f0wmklpkji1sC9C9/iGj4DWwaUGvXYkstkw==" saltValue="J/7ZeGupzczNIrHKZxeWdQ==" spinCount="100000" sheet="1" selectLockedCells="1"/>
  <mergeCells count="18">
    <mergeCell ref="J32:Q32"/>
    <mergeCell ref="B32:H32"/>
    <mergeCell ref="J29:M29"/>
    <mergeCell ref="N29:Q29"/>
    <mergeCell ref="L5:Q6"/>
    <mergeCell ref="N26:Q26"/>
    <mergeCell ref="J26:M26"/>
    <mergeCell ref="J28:M28"/>
    <mergeCell ref="N28:Q28"/>
    <mergeCell ref="M17:P17"/>
    <mergeCell ref="M18:P18"/>
    <mergeCell ref="M19:P19"/>
    <mergeCell ref="M20:P20"/>
    <mergeCell ref="M21:P21"/>
    <mergeCell ref="M22:P22"/>
    <mergeCell ref="J25:L25"/>
    <mergeCell ref="N25:Q25"/>
    <mergeCell ref="C21:K21"/>
  </mergeCells>
  <phoneticPr fontId="1" type="noConversion"/>
  <conditionalFormatting sqref="T20:T22">
    <cfRule type="cellIs" dxfId="12" priority="15" operator="lessThan">
      <formula>0</formula>
    </cfRule>
  </conditionalFormatting>
  <conditionalFormatting sqref="P16 N11:N15">
    <cfRule type="cellIs" dxfId="11" priority="37" operator="greaterThan">
      <formula>$D$8</formula>
    </cfRule>
  </conditionalFormatting>
  <conditionalFormatting sqref="Q21:Q22">
    <cfRule type="cellIs" dxfId="10" priority="12" operator="lessThan">
      <formula>0</formula>
    </cfRule>
  </conditionalFormatting>
  <conditionalFormatting sqref="Q20">
    <cfRule type="cellIs" dxfId="9" priority="11" operator="lessThan">
      <formula>0</formula>
    </cfRule>
  </conditionalFormatting>
  <conditionalFormatting sqref="G3">
    <cfRule type="cellIs" dxfId="8" priority="5" operator="between">
      <formula>0.212</formula>
      <formula>0.5</formula>
    </cfRule>
  </conditionalFormatting>
  <conditionalFormatting sqref="Q17">
    <cfRule type="cellIs" dxfId="7" priority="4" operator="greaterThan">
      <formula>90</formula>
    </cfRule>
  </conditionalFormatting>
  <conditionalFormatting sqref="Q18">
    <cfRule type="cellIs" dxfId="6" priority="3" operator="greaterThan">
      <formula>100</formula>
    </cfRule>
  </conditionalFormatting>
  <conditionalFormatting sqref="C14">
    <cfRule type="expression" dxfId="5" priority="2">
      <formula>IF($D$5&gt;=3,TRUE,FALSE)</formula>
    </cfRule>
  </conditionalFormatting>
  <conditionalFormatting sqref="C13">
    <cfRule type="expression" dxfId="4" priority="1">
      <formula>IF($D$5=4,TRUE,FALSE)</formula>
    </cfRule>
  </conditionalFormatting>
  <dataValidations count="9">
    <dataValidation type="whole" allowBlank="1" showInputMessage="1" showErrorMessage="1" sqref="D8" xr:uid="{D4ECA0DE-E5BF-45C4-B1F4-CEDEF95D5FCD}">
      <formula1>25</formula1>
      <formula2>100</formula2>
    </dataValidation>
    <dataValidation type="whole" allowBlank="1" showInputMessage="1" showErrorMessage="1" sqref="H16:H18 G11:G15" xr:uid="{00000000-0002-0000-0000-000000000000}">
      <formula1>-10</formula1>
      <formula2>60</formula2>
    </dataValidation>
    <dataValidation type="whole" allowBlank="1" showInputMessage="1" showErrorMessage="1" sqref="J16:J18" xr:uid="{00000000-0002-0000-0000-000001000000}">
      <formula1>0</formula1>
      <formula2>500</formula2>
    </dataValidation>
    <dataValidation type="whole" allowBlank="1" showInputMessage="1" showErrorMessage="1" sqref="I16:I18 H11:H12 H14 H13 H15" xr:uid="{140F7B95-0F43-41FC-87F3-0F2A2CBD5381}">
      <formula1>0</formula1>
      <formula2>1000</formula2>
    </dataValidation>
    <dataValidation type="decimal" allowBlank="1" showInputMessage="1" showErrorMessage="1" errorTitle="Standard Value" error="0.212 - 0.5 A" sqref="G3" xr:uid="{EDD2A0E0-554C-43A6-84A1-629D4C53B99C}">
      <formula1>0.212</formula1>
      <formula2>0.5</formula2>
    </dataValidation>
    <dataValidation type="decimal" allowBlank="1" showInputMessage="1" showErrorMessage="1" errorTitle="Patch cords lengths" error="1 - 30 m" sqref="D6" xr:uid="{CB1C23C9-F8FB-4769-A49F-8A323419EA15}">
      <formula1>1</formula1>
      <formula2>30</formula2>
    </dataValidation>
    <dataValidation type="whole" allowBlank="1" showInputMessage="1" showErrorMessage="1" sqref="I12:I14" xr:uid="{B87C7673-D404-49C8-9217-F649B84D4F6A}">
      <formula1>0</formula1>
      <formula2>800</formula2>
    </dataValidation>
    <dataValidation type="whole" allowBlank="1" showInputMessage="1" showErrorMessage="1" sqref="I11 I15" xr:uid="{B835C1D1-7C3B-4C0D-9D13-5BE611D87C8C}">
      <formula1>0</formula1>
      <formula2>300</formula2>
    </dataValidation>
    <dataValidation type="decimal" allowBlank="1" showInputMessage="1" showErrorMessage="1" sqref="P12:P14" xr:uid="{AFAE6176-9994-4A79-A94B-0C2095697282}">
      <formula1>0</formula1>
      <formula2>300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 alignWithMargins="0">
    <oddFooter>&amp;L&amp;F&amp;R&amp;D</oddFooter>
  </headerFooter>
  <drawing r:id="rId2"/>
  <legacyDrawing r:id="rId3"/>
  <oleObjects>
    <mc:AlternateContent xmlns:mc="http://schemas.openxmlformats.org/markup-compatibility/2006">
      <mc:Choice Requires="x14">
        <oleObject progId="Visio.Drawing.15" shapeId="1379" r:id="rId4">
          <objectPr defaultSize="0" autoPict="0" r:id="rId5">
            <anchor moveWithCells="1">
              <from>
                <xdr:col>1</xdr:col>
                <xdr:colOff>0</xdr:colOff>
                <xdr:row>23</xdr:row>
                <xdr:rowOff>19050</xdr:rowOff>
              </from>
              <to>
                <xdr:col>6</xdr:col>
                <xdr:colOff>19050</xdr:colOff>
                <xdr:row>28</xdr:row>
                <xdr:rowOff>809625</xdr:rowOff>
              </to>
            </anchor>
          </objectPr>
        </oleObject>
      </mc:Choice>
      <mc:Fallback>
        <oleObject progId="Visio.Drawing.15" shapeId="1379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000-000003000000}">
          <x14:formula1>
            <xm:f>Presets!$F$2:$F$8</xm:f>
          </x14:formula1>
          <xm:sqref>D3</xm:sqref>
        </x14:dataValidation>
        <x14:dataValidation type="list" allowBlank="1" showInputMessage="1" showErrorMessage="1" xr:uid="{00000000-0002-0000-0000-000004000000}">
          <x14:formula1>
            <xm:f>Presets!$G$2:$G$6</xm:f>
          </x14:formula1>
          <xm:sqref>D4</xm:sqref>
        </x14:dataValidation>
        <x14:dataValidation type="list" allowBlank="1" showInputMessage="1" showErrorMessage="1" xr:uid="{00000000-0002-0000-0000-000005000000}">
          <x14:formula1>
            <xm:f>Presets!$I$2:$I$4</xm:f>
          </x14:formula1>
          <xm:sqref>D5</xm:sqref>
        </x14:dataValidation>
        <x14:dataValidation type="list" allowBlank="1" showInputMessage="1" showErrorMessage="1" xr:uid="{00000000-0002-0000-0000-000006000000}">
          <x14:formula1>
            <xm:f>Presets!$J$2:$J$4</xm:f>
          </x14:formula1>
          <xm:sqref>D7</xm:sqref>
        </x14:dataValidation>
        <x14:dataValidation type="list" allowBlank="1" showInputMessage="1" showErrorMessage="1" xr:uid="{D0429143-6582-4ED9-8C26-411FC3F7C829}">
          <x14:formula1>
            <xm:f>Presets!$A$2:$A$5</xm:f>
          </x14:formula1>
          <xm:sqref>L11:L15</xm:sqref>
        </x14:dataValidation>
        <x14:dataValidation type="list" allowBlank="1" showInputMessage="1" showErrorMessage="1" xr:uid="{C3CA1A53-27BC-4E7F-B131-64374A97A88C}">
          <x14:formula1>
            <xm:f>Presets!$H$2:$H$3</xm:f>
          </x14:formula1>
          <xm:sqref>G5</xm:sqref>
        </x14:dataValidation>
        <x14:dataValidation type="list" allowBlank="1" showInputMessage="1" showErrorMessage="1" xr:uid="{3410052F-3E87-4161-8C50-13333A357AF1}">
          <x14:formula1>
            <xm:f>Presets!$K$2:$K$3</xm:f>
          </x14:formula1>
          <xm:sqref>G8</xm:sqref>
        </x14:dataValidation>
        <x14:dataValidation type="list" allowBlank="1" showInputMessage="1" showErrorMessage="1" xr:uid="{A5F8A773-69BB-4262-8E35-4C6ADD4414EE}">
          <x14:formula1>
            <xm:f>IF($G$5="/s",Presets!$N$2:$N$12,Presets!$M$2:$M$13)</xm:f>
          </x14:formula1>
          <xm:sqref>C12:C14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AF0E2-FBFD-43A3-8B29-AECE2B681ABA}">
  <sheetPr codeName="Tabelle4">
    <pageSetUpPr fitToPage="1"/>
  </sheetPr>
  <dimension ref="B1:Z28"/>
  <sheetViews>
    <sheetView showGridLines="0" zoomScale="136" zoomScaleNormal="136" workbookViewId="0"/>
  </sheetViews>
  <sheetFormatPr defaultColWidth="11.42578125" defaultRowHeight="12.75"/>
  <cols>
    <col min="1" max="1" width="1.7109375" style="10" customWidth="1"/>
    <col min="2" max="2" width="6.5703125" style="10" customWidth="1"/>
    <col min="3" max="3" width="16.28515625" style="10" customWidth="1"/>
    <col min="4" max="4" width="14.7109375" style="10" customWidth="1"/>
    <col min="5" max="5" width="9.28515625" style="10" customWidth="1"/>
    <col min="6" max="6" width="9.85546875" style="10" customWidth="1"/>
    <col min="7" max="7" width="8.5703125" style="11" customWidth="1"/>
    <col min="8" max="8" width="11" style="11" customWidth="1"/>
    <col min="9" max="9" width="8.5703125" style="11" customWidth="1"/>
    <col min="10" max="10" width="7.7109375" style="11" customWidth="1"/>
    <col min="11" max="12" width="8.85546875" style="10" customWidth="1"/>
    <col min="13" max="13" width="10.42578125" style="10" customWidth="1"/>
    <col min="14" max="14" width="8.140625" style="10" customWidth="1"/>
    <col min="15" max="15" width="10.28515625" style="10" customWidth="1"/>
    <col min="16" max="16" width="7.140625" style="10" customWidth="1"/>
    <col min="17" max="17" width="8.28515625" style="10" customWidth="1"/>
    <col min="18" max="18" width="8.5703125" style="10" customWidth="1"/>
    <col min="19" max="19" width="7.5703125" style="10" customWidth="1"/>
    <col min="20" max="20" width="6.42578125" style="10" customWidth="1"/>
    <col min="21" max="21" width="7.7109375" style="10" customWidth="1"/>
    <col min="22" max="22" width="8.5703125" style="10" bestFit="1" customWidth="1"/>
    <col min="23" max="23" width="1.140625" style="10" customWidth="1"/>
    <col min="24" max="24" width="11.42578125" style="10"/>
    <col min="25" max="25" width="13" style="10" customWidth="1"/>
    <col min="26" max="16384" width="11.42578125" style="10"/>
  </cols>
  <sheetData>
    <row r="1" spans="2:26" ht="25.9" customHeight="1">
      <c r="B1" s="82" t="str">
        <f>'Link Length Calculator'!B1</f>
        <v xml:space="preserve">Permanent Link length calculator according to ISO/IEC 14763-2 and EN 50174-2: </v>
      </c>
      <c r="C1" s="83"/>
      <c r="D1" s="83"/>
      <c r="E1" s="83"/>
      <c r="F1" s="84"/>
      <c r="G1" s="84"/>
      <c r="H1" s="84"/>
      <c r="I1" s="84"/>
      <c r="J1" s="84"/>
      <c r="K1" s="83"/>
      <c r="L1" s="83"/>
      <c r="M1" s="83"/>
      <c r="N1" s="83"/>
      <c r="O1" s="83"/>
      <c r="P1" s="83"/>
      <c r="Q1" s="83"/>
      <c r="R1" s="83"/>
    </row>
    <row r="2" spans="2:26" ht="13.9" customHeight="1">
      <c r="B2" s="82"/>
      <c r="C2" s="83"/>
      <c r="D2" s="83"/>
      <c r="E2" s="83"/>
      <c r="F2" s="84"/>
      <c r="G2" s="84"/>
      <c r="H2" s="84"/>
      <c r="I2" s="84"/>
      <c r="J2" s="84"/>
      <c r="K2" s="83"/>
      <c r="L2" s="83"/>
      <c r="M2" s="83"/>
      <c r="N2" s="83"/>
      <c r="O2" s="83"/>
      <c r="P2" s="83"/>
      <c r="Q2" s="83"/>
      <c r="R2" s="83"/>
    </row>
    <row r="3" spans="2:26" ht="13.15" customHeight="1">
      <c r="B3" s="85" t="s">
        <v>14</v>
      </c>
      <c r="C3" s="86"/>
      <c r="D3" s="87" t="str">
        <f>'Link Length Calculator'!D3</f>
        <v>RP3</v>
      </c>
      <c r="E3" s="88"/>
      <c r="F3" s="89" t="str">
        <f>'Link Length Calculator'!F3</f>
        <v/>
      </c>
      <c r="G3" s="89" t="str">
        <f>'Link Length Calculator'!G3</f>
        <v/>
      </c>
      <c r="H3" s="90" t="str">
        <f>'Link Length Calculator'!H3</f>
        <v/>
      </c>
      <c r="I3" s="91" t="str">
        <f>'Link Length Calculator'!K3</f>
        <v>Power:</v>
      </c>
      <c r="J3" s="89" t="str">
        <f>'Link Length Calculator'!L3</f>
        <v>90</v>
      </c>
      <c r="K3" s="90" t="str">
        <f>'Link Length Calculator'!M3</f>
        <v>W</v>
      </c>
      <c r="O3" s="85"/>
      <c r="P3" s="83"/>
      <c r="Q3" s="83"/>
      <c r="R3" s="83"/>
    </row>
    <row r="4" spans="2:26" ht="13.15" customHeight="1">
      <c r="B4" s="85" t="s">
        <v>15</v>
      </c>
      <c r="C4" s="85"/>
      <c r="D4" s="92" t="str">
        <f>'Link Length Calculator'!D4</f>
        <v>D</v>
      </c>
      <c r="E4" s="93"/>
      <c r="F4" s="94"/>
      <c r="G4" s="89"/>
      <c r="H4" s="95"/>
      <c r="I4" s="90"/>
      <c r="J4" s="91"/>
      <c r="K4" s="92"/>
      <c r="L4" s="22"/>
      <c r="N4" s="96"/>
      <c r="O4" s="85"/>
      <c r="P4" s="83"/>
      <c r="Q4" s="97"/>
      <c r="R4" s="98"/>
      <c r="S4" s="21"/>
      <c r="T4" s="20"/>
      <c r="U4" s="21"/>
    </row>
    <row r="5" spans="2:26" ht="13.15" customHeight="1">
      <c r="B5" s="85" t="s">
        <v>29</v>
      </c>
      <c r="C5" s="85"/>
      <c r="D5" s="92">
        <f>'Link Length Calculator'!D5</f>
        <v>2</v>
      </c>
      <c r="E5" s="86"/>
      <c r="F5" s="89" t="str">
        <f>'Link Length Calculator'!F5</f>
        <v>Shielding:</v>
      </c>
      <c r="G5" s="89" t="str">
        <f>'Link Length Calculator'!G5</f>
        <v>/s</v>
      </c>
      <c r="H5" s="95"/>
      <c r="I5" s="90" t="str">
        <f>'Link Length Calculator'!K5</f>
        <v>Note:</v>
      </c>
      <c r="J5" s="257" t="str">
        <f>'Link Length Calculator'!L5</f>
        <v>No restrictions on the use of 4PPoE.
Temperature increase expected.</v>
      </c>
      <c r="K5" s="258"/>
      <c r="L5" s="258"/>
      <c r="M5" s="259"/>
      <c r="N5" s="99"/>
      <c r="O5" s="99"/>
      <c r="P5" s="99"/>
      <c r="Q5" s="99"/>
      <c r="R5" s="99"/>
      <c r="S5" s="21"/>
      <c r="T5" s="20"/>
      <c r="U5" s="21"/>
    </row>
    <row r="6" spans="2:26" ht="13.15" customHeight="1">
      <c r="B6" s="85" t="s">
        <v>33</v>
      </c>
      <c r="C6" s="85"/>
      <c r="D6" s="92">
        <f>'Link Length Calculator'!D6</f>
        <v>10</v>
      </c>
      <c r="E6" s="86" t="s">
        <v>34</v>
      </c>
      <c r="F6" s="94"/>
      <c r="G6" s="89"/>
      <c r="H6" s="91"/>
      <c r="I6" s="90"/>
      <c r="J6" s="260"/>
      <c r="K6" s="261"/>
      <c r="L6" s="261"/>
      <c r="M6" s="262"/>
      <c r="N6" s="99"/>
      <c r="O6" s="99"/>
      <c r="P6" s="99"/>
      <c r="Q6" s="99"/>
      <c r="R6" s="99"/>
      <c r="S6" s="21"/>
      <c r="T6" s="20"/>
      <c r="U6" s="21"/>
    </row>
    <row r="7" spans="2:26" ht="13.15" customHeight="1">
      <c r="B7" s="85" t="s">
        <v>35</v>
      </c>
      <c r="C7" s="85"/>
      <c r="D7" s="92">
        <f>'Link Length Calculator'!D7</f>
        <v>1.5</v>
      </c>
      <c r="E7" s="86"/>
      <c r="F7" s="92"/>
      <c r="G7" s="92"/>
      <c r="H7" s="91"/>
      <c r="I7" s="90"/>
      <c r="J7" s="260"/>
      <c r="K7" s="261"/>
      <c r="L7" s="261"/>
      <c r="M7" s="262"/>
      <c r="N7" s="85"/>
      <c r="O7" s="83"/>
      <c r="P7" s="83"/>
      <c r="Q7" s="97"/>
      <c r="R7" s="98"/>
      <c r="S7" s="21"/>
      <c r="T7" s="20"/>
      <c r="U7" s="21"/>
    </row>
    <row r="8" spans="2:26" ht="13.15" customHeight="1">
      <c r="B8" s="85" t="s">
        <v>38</v>
      </c>
      <c r="C8" s="86"/>
      <c r="D8" s="100">
        <f>'Link Length Calculator'!D8</f>
        <v>60</v>
      </c>
      <c r="E8" s="93" t="s">
        <v>39</v>
      </c>
      <c r="F8" s="89" t="str">
        <f>'Link Length Calculator'!F8</f>
        <v>STP Prio:</v>
      </c>
      <c r="G8" s="89" t="str">
        <f>'Link Length Calculator'!G8</f>
        <v>No</v>
      </c>
      <c r="H8" s="90"/>
      <c r="I8" s="90"/>
      <c r="J8" s="263"/>
      <c r="K8" s="264"/>
      <c r="L8" s="264"/>
      <c r="M8" s="265"/>
      <c r="N8" s="90"/>
      <c r="O8" s="101"/>
      <c r="P8" s="83"/>
      <c r="Q8" s="97"/>
      <c r="R8" s="98"/>
      <c r="S8" s="21"/>
      <c r="T8" s="20"/>
      <c r="U8" s="21"/>
    </row>
    <row r="9" spans="2:26">
      <c r="B9" s="83"/>
      <c r="C9" s="83"/>
      <c r="D9" s="83"/>
      <c r="E9" s="83"/>
      <c r="F9" s="83"/>
      <c r="G9" s="84"/>
      <c r="H9" s="84"/>
      <c r="I9" s="84"/>
      <c r="J9" s="84"/>
      <c r="K9" s="83"/>
      <c r="L9" s="83"/>
      <c r="M9" s="83"/>
      <c r="N9" s="83"/>
      <c r="O9" s="83"/>
      <c r="P9" s="83"/>
      <c r="Q9" s="83"/>
      <c r="R9" s="83"/>
    </row>
    <row r="10" spans="2:26" ht="47.25" customHeight="1">
      <c r="B10" s="26" t="s">
        <v>40</v>
      </c>
      <c r="C10" s="266" t="s">
        <v>3</v>
      </c>
      <c r="D10" s="267"/>
      <c r="E10" s="26" t="s">
        <v>4</v>
      </c>
      <c r="F10" s="26" t="s">
        <v>62</v>
      </c>
      <c r="G10" s="26" t="s">
        <v>64</v>
      </c>
      <c r="H10" s="102" t="str">
        <f>'Link Length Calculator'!L10</f>
        <v>Installation condition</v>
      </c>
      <c r="I10" s="102" t="str">
        <f>'Link Length Calculator'!K10</f>
        <v>Bundle  reduction factor</v>
      </c>
      <c r="J10" s="102" t="str">
        <f>'Link Length Calculator'!M10</f>
        <v>Temp. increase  bundle 
(°C)</v>
      </c>
      <c r="K10" s="102" t="str">
        <f>'Link Length Calculator'!N10</f>
        <v>Total temp. (ambient + increase) 
(°C)</v>
      </c>
      <c r="L10" s="102" t="str">
        <f>'Link Length Calculator'!P10</f>
        <v>Planned segment length 
(m)</v>
      </c>
      <c r="M10" s="102" t="str">
        <f>'Link Length Calculator'!Q10</f>
        <v>Normalized electrical length at 
20 °C (m)</v>
      </c>
      <c r="R10" s="27"/>
      <c r="S10" s="27"/>
      <c r="T10" s="27"/>
      <c r="U10" s="25"/>
      <c r="V10" s="27"/>
      <c r="Y10" s="28"/>
    </row>
    <row r="11" spans="2:26" ht="26.25" customHeight="1">
      <c r="B11" s="103" t="s">
        <v>136</v>
      </c>
      <c r="C11" s="268" t="str">
        <f>'Link Length Calculator'!C11</f>
        <v>Patch Cord at Patch Panel side</v>
      </c>
      <c r="D11" s="268"/>
      <c r="E11" s="104">
        <f>'Link Length Calculator'!G11</f>
        <v>35</v>
      </c>
      <c r="F11" s="104">
        <f>'Link Length Calculator'!H11</f>
        <v>24</v>
      </c>
      <c r="G11" s="105">
        <f>'Link Length Calculator'!I11</f>
        <v>0</v>
      </c>
      <c r="H11" s="105" t="str">
        <f>LEFT('Link Length Calculator'!L11,SEARCH(":",'Link Length Calculator'!L11,1)-1)</f>
        <v>E/F</v>
      </c>
      <c r="I11" s="117">
        <f>'Link Length Calculator'!K11</f>
        <v>1</v>
      </c>
      <c r="J11" s="118">
        <f>'Link Length Calculator'!M11</f>
        <v>8.6311553090909339</v>
      </c>
      <c r="K11" s="33">
        <f>'Link Length Calculator'!N11</f>
        <v>43.631155309090936</v>
      </c>
      <c r="L11" s="105">
        <f>'Link Length Calculator'!P11</f>
        <v>5</v>
      </c>
      <c r="M11" s="106">
        <f>'Link Length Calculator'!Q11</f>
        <v>7.854467329636365</v>
      </c>
      <c r="R11" s="27"/>
      <c r="S11" s="27"/>
      <c r="T11" s="27"/>
      <c r="U11" s="25"/>
      <c r="V11" s="27"/>
      <c r="Y11" s="28"/>
    </row>
    <row r="12" spans="2:26" ht="26.25" customHeight="1">
      <c r="B12" s="148">
        <v>1</v>
      </c>
      <c r="C12" s="268" t="str">
        <f>'Link Length Calculator'!C12</f>
        <v>Cat5e/s (AWG24)</v>
      </c>
      <c r="D12" s="268"/>
      <c r="E12" s="104">
        <f>'Link Length Calculator'!G12</f>
        <v>25</v>
      </c>
      <c r="F12" s="104">
        <f>'Link Length Calculator'!H12</f>
        <v>200</v>
      </c>
      <c r="G12" s="105">
        <f>'Link Length Calculator'!I12</f>
        <v>200</v>
      </c>
      <c r="H12" s="105" t="str">
        <f>LEFT('Link Length Calculator'!L12,SEARCH(":",'Link Length Calculator'!L12,1)-1)</f>
        <v>E/F</v>
      </c>
      <c r="I12" s="117">
        <f>'Link Length Calculator'!K12</f>
        <v>0.52857829157815417</v>
      </c>
      <c r="J12" s="118">
        <f>'Link Length Calculator'!M12</f>
        <v>16.243683101374963</v>
      </c>
      <c r="K12" s="33">
        <f>'Link Length Calculator'!N12</f>
        <v>41.243683101374963</v>
      </c>
      <c r="L12" s="107">
        <f>'Link Length Calculator'!P12</f>
        <v>40</v>
      </c>
      <c r="M12" s="106">
        <f>'Link Length Calculator'!Q12</f>
        <v>41.699494648109997</v>
      </c>
      <c r="R12" s="35"/>
      <c r="S12" s="41"/>
      <c r="T12" s="45"/>
      <c r="U12" s="25"/>
      <c r="V12" s="35"/>
      <c r="Y12" s="36"/>
      <c r="Z12" s="37"/>
    </row>
    <row r="13" spans="2:26" ht="26.25" customHeight="1">
      <c r="B13" s="148">
        <v>2</v>
      </c>
      <c r="C13" s="268" t="str">
        <f>'Link Length Calculator'!C13</f>
        <v>Cat5e/s (AWG24)</v>
      </c>
      <c r="D13" s="268"/>
      <c r="E13" s="104">
        <f>'Link Length Calculator'!G13</f>
        <v>25</v>
      </c>
      <c r="F13" s="104">
        <f>'Link Length Calculator'!H13</f>
        <v>75</v>
      </c>
      <c r="G13" s="105">
        <f>'Link Length Calculator'!I13</f>
        <v>100</v>
      </c>
      <c r="H13" s="105" t="str">
        <f>LEFT('Link Length Calculator'!L13,SEARCH(":",'Link Length Calculator'!L13,1)-1)</f>
        <v>C</v>
      </c>
      <c r="I13" s="117">
        <f>'Link Length Calculator'!K13</f>
        <v>0.62129192049888182</v>
      </c>
      <c r="J13" s="118">
        <f>'Link Length Calculator'!M13</f>
        <v>11.433548618956836</v>
      </c>
      <c r="K13" s="33">
        <f>'Link Length Calculator'!N13</f>
        <v>36.433548618956834</v>
      </c>
      <c r="L13" s="107">
        <f>'Link Length Calculator'!P13</f>
        <v>30</v>
      </c>
      <c r="M13" s="106">
        <f>'Link Length Calculator'!Q13</f>
        <v>30.986012917137408</v>
      </c>
      <c r="R13" s="35"/>
      <c r="S13" s="41"/>
      <c r="T13" s="45"/>
      <c r="U13" s="25"/>
      <c r="V13" s="35"/>
      <c r="Y13" s="38"/>
    </row>
    <row r="14" spans="2:26" ht="26.25" customHeight="1">
      <c r="B14" s="148">
        <v>3</v>
      </c>
      <c r="C14" s="268" t="str">
        <f>'Link Length Calculator'!C14</f>
        <v>Cat5e/s (AWG24)</v>
      </c>
      <c r="D14" s="268"/>
      <c r="E14" s="104">
        <f>'Link Length Calculator'!G14</f>
        <v>25</v>
      </c>
      <c r="F14" s="104">
        <f>'Link Length Calculator'!H14</f>
        <v>24</v>
      </c>
      <c r="G14" s="105">
        <f>'Link Length Calculator'!I14</f>
        <v>50</v>
      </c>
      <c r="H14" s="105" t="str">
        <f>LEFT('Link Length Calculator'!L14,SEARCH(":",'Link Length Calculator'!L14,1)-1)</f>
        <v>B</v>
      </c>
      <c r="I14" s="117">
        <f>'Link Length Calculator'!K14</f>
        <v>0.68541119894462477</v>
      </c>
      <c r="J14" s="118">
        <f>'Link Length Calculator'!M14</f>
        <v>8.9060091452753127</v>
      </c>
      <c r="K14" s="33">
        <f>'Link Length Calculator'!N14</f>
        <v>33.906009145275313</v>
      </c>
      <c r="L14" s="107">
        <f>'Link Length Calculator'!P14</f>
        <v>20</v>
      </c>
      <c r="M14" s="106">
        <f>'Link Length Calculator'!Q14</f>
        <v>20.556240365811014</v>
      </c>
      <c r="R14" s="35"/>
      <c r="S14" s="41"/>
      <c r="T14" s="45"/>
      <c r="U14" s="25"/>
      <c r="V14" s="35"/>
      <c r="Y14" s="38"/>
    </row>
    <row r="15" spans="2:26" ht="26.25" customHeight="1">
      <c r="B15" s="148" t="s">
        <v>137</v>
      </c>
      <c r="C15" s="268" t="str">
        <f>'Link Length Calculator'!C15</f>
        <v>Patch Cord at TO side</v>
      </c>
      <c r="D15" s="268"/>
      <c r="E15" s="104">
        <f>'Link Length Calculator'!G15</f>
        <v>25</v>
      </c>
      <c r="F15" s="104">
        <f>'Link Length Calculator'!H15</f>
        <v>1</v>
      </c>
      <c r="G15" s="105">
        <f>'Link Length Calculator'!I15</f>
        <v>0</v>
      </c>
      <c r="H15" s="105" t="str">
        <f>LEFT('Link Length Calculator'!L15,SEARCH(":",'Link Length Calculator'!L15,1)-1)</f>
        <v>E/F</v>
      </c>
      <c r="I15" s="117">
        <f>'Link Length Calculator'!K15</f>
        <v>1</v>
      </c>
      <c r="J15" s="118">
        <f>'Link Length Calculator'!M15</f>
        <v>1.3563333333333332</v>
      </c>
      <c r="K15" s="33">
        <f>'Link Length Calculator'!N15</f>
        <v>26.356333333333332</v>
      </c>
      <c r="L15" s="105">
        <f>'Link Length Calculator'!P15</f>
        <v>5</v>
      </c>
      <c r="M15" s="106">
        <f>'Link Length Calculator'!Q15</f>
        <v>7.5953450000000009</v>
      </c>
      <c r="R15" s="35"/>
      <c r="S15" s="41"/>
      <c r="T15" s="45"/>
      <c r="U15" s="25"/>
      <c r="V15" s="35"/>
      <c r="Y15" s="38"/>
    </row>
    <row r="16" spans="2:26" ht="13.5" thickBot="1">
      <c r="B16" s="19"/>
      <c r="C16" s="19"/>
      <c r="D16" s="19"/>
      <c r="E16" s="19"/>
      <c r="F16" s="19"/>
      <c r="G16" s="14"/>
      <c r="H16" s="108"/>
      <c r="I16" s="108"/>
      <c r="J16" s="109"/>
      <c r="K16" s="110"/>
      <c r="L16" s="110"/>
      <c r="M16" s="50"/>
      <c r="N16" s="1"/>
      <c r="R16" s="25"/>
      <c r="S16" s="25"/>
      <c r="T16" s="25"/>
      <c r="U16" s="25"/>
      <c r="V16" s="55"/>
    </row>
    <row r="17" spans="2:24" ht="18" customHeight="1" thickBot="1">
      <c r="B17" s="52"/>
      <c r="C17" s="52"/>
      <c r="D17" s="52"/>
      <c r="E17" s="19"/>
      <c r="F17" s="19"/>
      <c r="G17" s="12"/>
      <c r="H17" s="111"/>
      <c r="I17" s="271" t="str">
        <f>'Link Length Calculator'!M17</f>
        <v>Planned PL length  (m)</v>
      </c>
      <c r="J17" s="272"/>
      <c r="K17" s="272"/>
      <c r="L17" s="272"/>
      <c r="M17" s="112">
        <f>'Link Length Calculator'!Q17</f>
        <v>90</v>
      </c>
      <c r="N17" s="1"/>
      <c r="R17" s="25"/>
      <c r="S17" s="25"/>
      <c r="T17" s="25"/>
      <c r="U17" s="25"/>
      <c r="V17" s="59"/>
      <c r="W17" s="60"/>
    </row>
    <row r="18" spans="2:24" ht="18" customHeight="1" thickBot="1">
      <c r="B18" s="19"/>
      <c r="C18" s="19"/>
      <c r="D18" s="19"/>
      <c r="E18" s="19"/>
      <c r="F18" s="19"/>
      <c r="G18" s="12"/>
      <c r="H18" s="111"/>
      <c r="I18" s="271" t="str">
        <f>'Link Length Calculator'!M18</f>
        <v>Planned Channel length  (m)</v>
      </c>
      <c r="J18" s="272"/>
      <c r="K18" s="272"/>
      <c r="L18" s="273"/>
      <c r="M18" s="113">
        <f>'Link Length Calculator'!Q18</f>
        <v>100</v>
      </c>
      <c r="N18" s="1"/>
      <c r="W18" s="60"/>
    </row>
    <row r="19" spans="2:24" ht="18" customHeight="1">
      <c r="B19" s="114"/>
      <c r="C19" s="52"/>
      <c r="D19" s="52"/>
      <c r="E19" s="19"/>
      <c r="F19" s="19"/>
      <c r="G19" s="14"/>
      <c r="H19" s="108"/>
      <c r="I19" s="274" t="str">
        <f>'Link Length Calculator'!M20</f>
        <v xml:space="preserve">Electrical Channel length reserve (m): </v>
      </c>
      <c r="J19" s="275"/>
      <c r="K19" s="275"/>
      <c r="L19" s="275"/>
      <c r="M19" s="222">
        <f>'Link Length Calculator'!Q20</f>
        <v>0.3084397393052285</v>
      </c>
      <c r="N19" s="1"/>
      <c r="W19" s="68"/>
    </row>
    <row r="20" spans="2:24" ht="17.25" customHeight="1">
      <c r="I20" s="276" t="str">
        <f>'Link Length Calculator'!M21</f>
        <v>Tglobal   (°C)</v>
      </c>
      <c r="J20" s="276"/>
      <c r="K20" s="276"/>
      <c r="L20" s="276"/>
      <c r="M20" s="225">
        <f>'Link Length Calculator'!Q21</f>
        <v>37.708114087413314</v>
      </c>
      <c r="N20" s="1"/>
      <c r="O20" s="115"/>
      <c r="P20" s="1"/>
      <c r="Q20" s="1"/>
      <c r="R20" s="1"/>
      <c r="S20" s="1"/>
      <c r="T20" s="1"/>
      <c r="U20" s="1"/>
      <c r="V20" s="1"/>
      <c r="W20" s="1"/>
      <c r="X20" s="1"/>
    </row>
    <row r="21" spans="2:24" s="223" customFormat="1" ht="16.5" customHeight="1">
      <c r="B21" s="223" t="str">
        <f>'Link Length Calculator'!B31</f>
        <v>Project / System - Identification:</v>
      </c>
      <c r="G21" s="11"/>
      <c r="H21" s="11" t="str">
        <f>'Link Length Calculator'!J31</f>
        <v>Planned by:</v>
      </c>
      <c r="I21" s="11"/>
      <c r="J21" s="11"/>
      <c r="N21" s="224"/>
      <c r="O21" s="256"/>
      <c r="P21" s="256"/>
      <c r="Q21" s="256"/>
      <c r="R21" s="224"/>
      <c r="S21" s="224"/>
      <c r="T21" s="149"/>
      <c r="U21" s="149"/>
      <c r="V21" s="149"/>
      <c r="W21" s="224"/>
      <c r="X21" s="224"/>
    </row>
    <row r="22" spans="2:24" ht="51.75" customHeight="1">
      <c r="B22" s="269" t="str">
        <f>IF('Link Length Calculator'!B32&lt;&gt;"",'Link Length Calculator'!B32,"")</f>
        <v/>
      </c>
      <c r="C22" s="269"/>
      <c r="D22" s="269"/>
      <c r="E22" s="269"/>
      <c r="F22" s="269"/>
      <c r="H22" s="270" t="str">
        <f>IF('Link Length Calculator'!J32&lt;&gt;"",'Link Length Calculator'!J32,"")</f>
        <v/>
      </c>
      <c r="I22" s="270"/>
      <c r="J22" s="270"/>
      <c r="K22" s="270"/>
      <c r="L22" s="270"/>
      <c r="M22" s="270"/>
      <c r="N22" s="1"/>
      <c r="O22" s="1"/>
      <c r="P22" s="1"/>
      <c r="Q22" s="1"/>
      <c r="R22" s="1"/>
      <c r="S22" s="235"/>
      <c r="T22" s="235"/>
      <c r="U22" s="235"/>
      <c r="V22" s="235"/>
      <c r="W22" s="1"/>
      <c r="X22" s="1"/>
    </row>
    <row r="23" spans="2:24" ht="16.149999999999999" customHeight="1"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2:24" ht="13.15" customHeight="1">
      <c r="N24" s="1"/>
      <c r="O24" s="116"/>
      <c r="P24" s="116"/>
      <c r="Q24" s="116"/>
      <c r="R24" s="1"/>
      <c r="S24" s="1"/>
      <c r="T24" s="147"/>
      <c r="U24" s="147"/>
      <c r="V24" s="147"/>
      <c r="W24" s="1"/>
      <c r="X24" s="1"/>
    </row>
    <row r="25" spans="2:24" ht="14.25" customHeight="1">
      <c r="N25" s="1"/>
      <c r="O25" s="1"/>
      <c r="P25" s="1"/>
      <c r="Q25" s="1"/>
      <c r="R25" s="1"/>
      <c r="S25" s="235"/>
      <c r="T25" s="235"/>
      <c r="U25" s="235"/>
      <c r="V25" s="235"/>
      <c r="W25" s="1"/>
      <c r="X25" s="1"/>
    </row>
    <row r="26" spans="2:24"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2:24"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2:24">
      <c r="B28" s="25"/>
      <c r="C28" s="25"/>
      <c r="D28" s="25"/>
      <c r="E28" s="25"/>
      <c r="F28" s="25"/>
      <c r="G28" s="76"/>
      <c r="H28" s="76"/>
      <c r="I28" s="76"/>
      <c r="J28" s="76"/>
      <c r="K28" s="25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</sheetData>
  <sheetProtection algorithmName="SHA-512" hashValue="qJ3/8loKROO9ssTWzJQzXdd46h5kCaXLGyvr8XVJSL9JBzuTZQFccgTlBHb7P0pkTIJNdIp7mZonvuE+3Bnneg==" saltValue="s6sK+A8rCrPvlJPLBD3+DQ==" spinCount="100000" sheet="1" objects="1" scenarios="1" selectLockedCells="1" selectUnlockedCells="1"/>
  <mergeCells count="16">
    <mergeCell ref="O21:Q21"/>
    <mergeCell ref="S22:V22"/>
    <mergeCell ref="S25:V25"/>
    <mergeCell ref="J5:M8"/>
    <mergeCell ref="C10:D10"/>
    <mergeCell ref="C12:D12"/>
    <mergeCell ref="C13:D13"/>
    <mergeCell ref="C14:D14"/>
    <mergeCell ref="C11:D11"/>
    <mergeCell ref="B22:F22"/>
    <mergeCell ref="H22:M22"/>
    <mergeCell ref="C15:D15"/>
    <mergeCell ref="I17:L17"/>
    <mergeCell ref="I18:L18"/>
    <mergeCell ref="I19:L19"/>
    <mergeCell ref="I20:L20"/>
  </mergeCells>
  <conditionalFormatting sqref="K11:K15">
    <cfRule type="cellIs" dxfId="3" priority="4" operator="greaterThan">
      <formula>$D$8</formula>
    </cfRule>
  </conditionalFormatting>
  <conditionalFormatting sqref="M19">
    <cfRule type="cellIs" dxfId="2" priority="3" operator="lessThan">
      <formula>0</formula>
    </cfRule>
  </conditionalFormatting>
  <conditionalFormatting sqref="M17">
    <cfRule type="cellIs" dxfId="1" priority="2" operator="greaterThan">
      <formula>90</formula>
    </cfRule>
  </conditionalFormatting>
  <conditionalFormatting sqref="M18">
    <cfRule type="cellIs" dxfId="0" priority="1" operator="greaterThan">
      <formula>100</formula>
    </cfRule>
  </conditionalFormatting>
  <dataValidations disablePrompts="1" count="2">
    <dataValidation type="whole" allowBlank="1" showInputMessage="1" showErrorMessage="1" sqref="D8" xr:uid="{0DFE3483-64E7-403E-BAC8-805C4A09A82C}">
      <formula1>25</formula1>
      <formula2>100</formula2>
    </dataValidation>
    <dataValidation type="whole" allowBlank="1" showInputMessage="1" showErrorMessage="1" sqref="E11:E15" xr:uid="{4E020307-B762-4DCF-97BB-20D289F3470D}">
      <formula1>-10</formula1>
      <formula2>60</formula2>
    </dataValidation>
  </dataValidations>
  <printOptions horizontalCentered="1"/>
  <pageMargins left="0.70866141732283472" right="0.70866141732283472" top="0.74803149606299213" bottom="0.74803149606299213" header="0" footer="0"/>
  <pageSetup paperSize="9" orientation="landscape" r:id="rId1"/>
  <headerFooter scaleWithDoc="0" alignWithMargins="0">
    <oddFooter>&amp;L&amp;F&amp;R&amp;D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 xr:uid="{47094D36-22B5-4CEC-8EDB-FBAD5DDED8B8}">
          <x14:formula1>
            <xm:f>Presets!$H$2:$H$17</xm:f>
          </x14:formula1>
          <xm:sqref>C11:C15</xm:sqref>
        </x14:dataValidation>
        <x14:dataValidation type="list" allowBlank="1" showInputMessage="1" showErrorMessage="1" xr:uid="{173C67BB-9D37-4B99-B69C-AC3787B11BFD}">
          <x14:formula1>
            <xm:f>Presets!$J$2:$J$4</xm:f>
          </x14:formula1>
          <xm:sqref>D7</xm:sqref>
        </x14:dataValidation>
        <x14:dataValidation type="list" allowBlank="1" showInputMessage="1" showErrorMessage="1" xr:uid="{128D897A-588A-4B58-994A-8174BFCA75DC}">
          <x14:formula1>
            <xm:f>Presets!$I$2:$I$4</xm:f>
          </x14:formula1>
          <xm:sqref>D5</xm:sqref>
        </x14:dataValidation>
        <x14:dataValidation type="list" allowBlank="1" showInputMessage="1" showErrorMessage="1" xr:uid="{9FBEEEFF-7002-4D12-981E-8C52B5F94A3F}">
          <x14:formula1>
            <xm:f>Presets!$G$2:$G$6</xm:f>
          </x14:formula1>
          <xm:sqref>D4</xm:sqref>
        </x14:dataValidation>
        <x14:dataValidation type="list" allowBlank="1" showInputMessage="1" showErrorMessage="1" xr:uid="{B3270824-8F27-48D8-9EC5-9E4E08FEE28E}">
          <x14:formula1>
            <xm:f>Presets!$F$2:$F$8</xm:f>
          </x14:formula1>
          <xm:sqref>D3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R69"/>
  <sheetViews>
    <sheetView zoomScale="50" zoomScaleNormal="50" workbookViewId="0"/>
  </sheetViews>
  <sheetFormatPr defaultColWidth="11.42578125" defaultRowHeight="12.75"/>
  <cols>
    <col min="1" max="1" width="28.140625" style="156" customWidth="1"/>
    <col min="2" max="2" width="17.28515625" style="156" customWidth="1"/>
    <col min="3" max="4" width="28.42578125" style="156" customWidth="1"/>
    <col min="5" max="5" width="18.7109375" style="156" customWidth="1"/>
    <col min="6" max="6" width="24.7109375" style="156" customWidth="1"/>
    <col min="7" max="7" width="11.42578125" style="156"/>
    <col min="8" max="8" width="24.7109375" style="156" customWidth="1"/>
    <col min="9" max="10" width="28.42578125" style="156" customWidth="1"/>
    <col min="11" max="11" width="11.42578125" style="156"/>
    <col min="12" max="12" width="15.140625" style="156" customWidth="1"/>
    <col min="13" max="13" width="32.85546875" style="156" customWidth="1"/>
    <col min="14" max="14" width="33.140625" style="156" customWidth="1"/>
    <col min="15" max="16384" width="11.42578125" style="156"/>
  </cols>
  <sheetData>
    <row r="1" spans="1:18">
      <c r="A1" s="152" t="s">
        <v>66</v>
      </c>
      <c r="B1" s="152" t="s">
        <v>9</v>
      </c>
      <c r="C1" s="152" t="s">
        <v>10</v>
      </c>
      <c r="D1" s="153" t="s">
        <v>12</v>
      </c>
      <c r="E1" s="153" t="s">
        <v>13</v>
      </c>
      <c r="F1" s="152" t="s">
        <v>16</v>
      </c>
      <c r="G1" s="153" t="s">
        <v>17</v>
      </c>
      <c r="H1" s="154" t="s">
        <v>99</v>
      </c>
      <c r="I1" s="152" t="s">
        <v>30</v>
      </c>
      <c r="J1" s="152" t="s">
        <v>36</v>
      </c>
      <c r="K1" s="155" t="s">
        <v>124</v>
      </c>
      <c r="M1" s="152" t="s">
        <v>86</v>
      </c>
      <c r="N1" s="152" t="s">
        <v>87</v>
      </c>
    </row>
    <row r="2" spans="1:18">
      <c r="A2" s="157" t="s">
        <v>80</v>
      </c>
      <c r="B2" s="158">
        <v>5</v>
      </c>
      <c r="C2" s="157">
        <v>0.4</v>
      </c>
      <c r="D2" s="159">
        <v>109</v>
      </c>
      <c r="E2" s="159">
        <v>1</v>
      </c>
      <c r="F2" s="157" t="s">
        <v>71</v>
      </c>
      <c r="G2" s="157" t="s">
        <v>18</v>
      </c>
      <c r="H2" s="160" t="s">
        <v>53</v>
      </c>
      <c r="I2" s="157">
        <v>2</v>
      </c>
      <c r="J2" s="157">
        <v>1.2</v>
      </c>
      <c r="K2" s="161" t="s">
        <v>125</v>
      </c>
      <c r="M2" s="152" t="s">
        <v>0</v>
      </c>
      <c r="N2" s="152" t="s">
        <v>1</v>
      </c>
    </row>
    <row r="3" spans="1:18">
      <c r="A3" s="152" t="s">
        <v>142</v>
      </c>
      <c r="B3" s="158">
        <v>3</v>
      </c>
      <c r="C3" s="157">
        <v>0.2</v>
      </c>
      <c r="D3" s="159">
        <v>104</v>
      </c>
      <c r="E3" s="159">
        <v>1.05</v>
      </c>
      <c r="F3" s="157" t="s">
        <v>72</v>
      </c>
      <c r="G3" s="157" t="s">
        <v>19</v>
      </c>
      <c r="H3" s="160" t="s">
        <v>54</v>
      </c>
      <c r="I3" s="157">
        <v>3</v>
      </c>
      <c r="J3" s="157">
        <v>1.5</v>
      </c>
      <c r="K3" s="161" t="s">
        <v>126</v>
      </c>
      <c r="M3" s="152" t="s">
        <v>91</v>
      </c>
      <c r="N3" s="152" t="s">
        <v>93</v>
      </c>
    </row>
    <row r="4" spans="1:18">
      <c r="A4" s="152" t="s">
        <v>143</v>
      </c>
      <c r="B4" s="158">
        <v>2.5</v>
      </c>
      <c r="E4" s="159">
        <v>1.1000000000000001</v>
      </c>
      <c r="F4" s="157" t="s">
        <v>73</v>
      </c>
      <c r="G4" s="152" t="s">
        <v>23</v>
      </c>
      <c r="H4" s="162"/>
      <c r="I4" s="157">
        <v>4</v>
      </c>
      <c r="J4" s="157">
        <v>2</v>
      </c>
      <c r="M4" s="152" t="s">
        <v>8</v>
      </c>
      <c r="N4" s="152" t="s">
        <v>94</v>
      </c>
      <c r="P4" s="156">
        <v>0.75</v>
      </c>
      <c r="Q4" s="156">
        <v>1</v>
      </c>
      <c r="R4" s="156">
        <f t="shared" ref="R4:R13" si="0">IF(P4&lt;=10,0.0035*P4*P4-0.0825*P4+0.9868,0.6718-P4*0.016)</f>
        <v>0.92689374999999996</v>
      </c>
    </row>
    <row r="5" spans="1:18">
      <c r="A5" s="157" t="s">
        <v>81</v>
      </c>
      <c r="E5" s="159">
        <v>1.1499999999999999</v>
      </c>
      <c r="F5" s="157"/>
      <c r="G5" s="157" t="s">
        <v>21</v>
      </c>
      <c r="H5" s="162"/>
      <c r="M5" s="152" t="s">
        <v>25</v>
      </c>
      <c r="N5" s="152" t="s">
        <v>95</v>
      </c>
      <c r="P5" s="156">
        <v>1</v>
      </c>
      <c r="Q5" s="156">
        <v>0.89</v>
      </c>
      <c r="R5" s="156">
        <f t="shared" si="0"/>
        <v>0.90780000000000005</v>
      </c>
    </row>
    <row r="6" spans="1:18">
      <c r="F6" s="163"/>
      <c r="G6" s="152" t="s">
        <v>24</v>
      </c>
      <c r="H6" s="162"/>
      <c r="M6" s="152" t="s">
        <v>26</v>
      </c>
      <c r="N6" s="152" t="s">
        <v>96</v>
      </c>
      <c r="P6" s="156">
        <v>2</v>
      </c>
      <c r="Q6" s="156">
        <v>0.84</v>
      </c>
      <c r="R6" s="156">
        <f t="shared" si="0"/>
        <v>0.83579999999999999</v>
      </c>
    </row>
    <row r="7" spans="1:18">
      <c r="F7" s="164"/>
      <c r="H7" s="164"/>
      <c r="M7" s="152" t="s">
        <v>100</v>
      </c>
      <c r="N7" s="152" t="s">
        <v>7</v>
      </c>
      <c r="P7" s="156">
        <v>3</v>
      </c>
      <c r="Q7" s="156">
        <v>0.77</v>
      </c>
      <c r="R7" s="156">
        <f t="shared" si="0"/>
        <v>0.77080000000000004</v>
      </c>
    </row>
    <row r="8" spans="1:18">
      <c r="F8" s="165"/>
      <c r="H8" s="162"/>
      <c r="M8" s="152" t="s">
        <v>31</v>
      </c>
      <c r="N8" s="152" t="s">
        <v>31</v>
      </c>
      <c r="P8" s="156">
        <v>4</v>
      </c>
      <c r="Q8" s="156">
        <v>0.71</v>
      </c>
      <c r="R8" s="156">
        <f t="shared" si="0"/>
        <v>0.71279999999999999</v>
      </c>
    </row>
    <row r="9" spans="1:18">
      <c r="A9" s="163"/>
      <c r="B9" s="166" t="s">
        <v>45</v>
      </c>
      <c r="C9" s="166" t="s">
        <v>77</v>
      </c>
      <c r="D9" s="166"/>
      <c r="E9" s="167" t="s">
        <v>46</v>
      </c>
      <c r="H9" s="164"/>
      <c r="M9" s="152" t="s">
        <v>88</v>
      </c>
      <c r="N9" s="152" t="s">
        <v>97</v>
      </c>
      <c r="P9" s="156">
        <v>5</v>
      </c>
      <c r="Q9" s="156">
        <v>0.66</v>
      </c>
      <c r="R9" s="156">
        <f t="shared" si="0"/>
        <v>0.66179999999999994</v>
      </c>
    </row>
    <row r="10" spans="1:18" ht="51">
      <c r="A10" s="157" t="s">
        <v>71</v>
      </c>
      <c r="B10" s="157" t="s">
        <v>74</v>
      </c>
      <c r="C10" s="168" t="s">
        <v>79</v>
      </c>
      <c r="D10" s="169" t="s">
        <v>46</v>
      </c>
      <c r="E10" s="170" t="s">
        <v>46</v>
      </c>
      <c r="F10" s="171" t="s">
        <v>46</v>
      </c>
      <c r="G10" s="157">
        <v>0</v>
      </c>
      <c r="H10" s="162"/>
      <c r="M10" s="152" t="s">
        <v>89</v>
      </c>
      <c r="N10" s="152" t="s">
        <v>98</v>
      </c>
      <c r="P10" s="156">
        <v>6</v>
      </c>
      <c r="Q10" s="156">
        <v>0.62</v>
      </c>
      <c r="R10" s="156">
        <f t="shared" si="0"/>
        <v>0.61780000000000002</v>
      </c>
    </row>
    <row r="11" spans="1:18" ht="51">
      <c r="A11" s="157" t="s">
        <v>72</v>
      </c>
      <c r="B11" s="157" t="s">
        <v>75</v>
      </c>
      <c r="C11" s="172" t="s">
        <v>78</v>
      </c>
      <c r="D11" s="152" t="s">
        <v>82</v>
      </c>
      <c r="E11" s="170">
        <f>'RP Category Calculator'!J4</f>
        <v>0.5</v>
      </c>
      <c r="F11" s="173" t="s">
        <v>11</v>
      </c>
      <c r="G11" s="157" t="str">
        <f>'Link Length Calculator'!G3</f>
        <v/>
      </c>
      <c r="H11" s="162"/>
      <c r="M11" s="152" t="s">
        <v>90</v>
      </c>
      <c r="N11" s="174" t="s">
        <v>101</v>
      </c>
      <c r="P11" s="156">
        <v>7</v>
      </c>
      <c r="Q11" s="156">
        <v>0.59</v>
      </c>
      <c r="R11" s="156">
        <f t="shared" si="0"/>
        <v>0.58079999999999998</v>
      </c>
    </row>
    <row r="12" spans="1:18" ht="38.25">
      <c r="A12" s="157" t="s">
        <v>73</v>
      </c>
      <c r="B12" s="169" t="s">
        <v>76</v>
      </c>
      <c r="C12" s="168" t="s">
        <v>141</v>
      </c>
      <c r="D12" s="169" t="s">
        <v>46</v>
      </c>
      <c r="E12" s="170" t="s">
        <v>46</v>
      </c>
      <c r="F12" s="175" t="s">
        <v>46</v>
      </c>
      <c r="G12" s="157">
        <v>0.5</v>
      </c>
      <c r="H12" s="162"/>
      <c r="M12" s="152" t="s">
        <v>44</v>
      </c>
      <c r="N12" s="174" t="s">
        <v>43</v>
      </c>
      <c r="P12" s="156">
        <v>8</v>
      </c>
      <c r="Q12" s="156">
        <v>0.56000000000000005</v>
      </c>
      <c r="R12" s="156">
        <f t="shared" si="0"/>
        <v>0.55079999999999996</v>
      </c>
    </row>
    <row r="13" spans="1:18">
      <c r="A13" s="164"/>
      <c r="B13" s="176"/>
      <c r="C13" s="177"/>
      <c r="D13" s="164"/>
      <c r="E13" s="178"/>
      <c r="H13" s="162"/>
      <c r="M13" s="152"/>
      <c r="N13" s="152"/>
      <c r="P13" s="156">
        <v>9</v>
      </c>
      <c r="Q13" s="156">
        <v>0.53</v>
      </c>
      <c r="R13" s="156">
        <f t="shared" si="0"/>
        <v>0.52779999999999994</v>
      </c>
    </row>
    <row r="14" spans="1:18">
      <c r="A14" s="164"/>
      <c r="B14" s="176"/>
      <c r="C14" s="177"/>
      <c r="D14" s="164"/>
      <c r="E14" s="179"/>
      <c r="H14" s="162"/>
      <c r="M14" s="152"/>
      <c r="N14" s="154"/>
      <c r="P14" s="156">
        <v>13</v>
      </c>
      <c r="R14" s="156">
        <f>IF(P14&lt;=10,0.0035*P14*P14-0.0825*P14+0.9868,0.6718-P14*0.016)</f>
        <v>0.46379999999999993</v>
      </c>
    </row>
    <row r="15" spans="1:18">
      <c r="A15" s="157" t="s">
        <v>80</v>
      </c>
      <c r="B15" s="180">
        <v>0.23119999999999999</v>
      </c>
      <c r="C15" s="181"/>
      <c r="D15" s="157"/>
      <c r="E15" s="182"/>
      <c r="G15" s="152" t="s">
        <v>53</v>
      </c>
      <c r="H15" s="170">
        <v>0.2</v>
      </c>
      <c r="L15" s="164"/>
      <c r="M15" s="162"/>
      <c r="N15" s="164"/>
      <c r="O15" s="164"/>
      <c r="P15" s="156">
        <v>14</v>
      </c>
      <c r="R15" s="156">
        <f>IF(P15&lt;=10,0.0035*P15*P15-0.0825*P15+0.9868,0.6718-P15*0.016)</f>
        <v>0.44779999999999998</v>
      </c>
    </row>
    <row r="16" spans="1:18">
      <c r="A16" s="152" t="s">
        <v>142</v>
      </c>
      <c r="B16" s="180">
        <v>0.30880000000000002</v>
      </c>
      <c r="C16" s="181"/>
      <c r="D16" s="157"/>
      <c r="E16" s="182"/>
      <c r="G16" s="152" t="s">
        <v>54</v>
      </c>
      <c r="H16" s="170">
        <v>0.4</v>
      </c>
      <c r="L16" s="164"/>
      <c r="M16" s="164"/>
      <c r="N16" s="183"/>
      <c r="O16" s="164"/>
      <c r="P16" s="156">
        <v>15</v>
      </c>
      <c r="R16" s="156">
        <f>IF(P16&lt;=10,0.0035*P16*P16-0.0825*P16+0.9868,0.6718-P16*0.016)</f>
        <v>0.43179999999999996</v>
      </c>
    </row>
    <row r="17" spans="1:18">
      <c r="A17" s="152" t="s">
        <v>143</v>
      </c>
      <c r="B17" s="180">
        <v>0.48</v>
      </c>
      <c r="C17" s="157"/>
      <c r="D17" s="157"/>
      <c r="E17" s="157"/>
      <c r="H17" s="183"/>
      <c r="L17" s="164"/>
      <c r="M17" s="183"/>
      <c r="N17" s="183"/>
      <c r="O17" s="164"/>
      <c r="P17" s="156">
        <v>16</v>
      </c>
      <c r="R17" s="156">
        <f>IF(P17&lt;=10,0.0035*P17*P17-0.0825*P17+0.9868,0.6718-P17*0.016)</f>
        <v>0.41579999999999995</v>
      </c>
    </row>
    <row r="18" spans="1:18">
      <c r="A18" s="157" t="s">
        <v>81</v>
      </c>
      <c r="B18" s="180">
        <v>1.08</v>
      </c>
      <c r="C18" s="157"/>
      <c r="D18" s="157"/>
      <c r="E18" s="157"/>
      <c r="H18" s="183"/>
      <c r="L18" s="164"/>
      <c r="M18" s="183"/>
      <c r="N18" s="183"/>
      <c r="O18" s="164"/>
    </row>
    <row r="19" spans="1:18">
      <c r="G19" s="164"/>
      <c r="H19" s="183"/>
      <c r="I19" s="164"/>
      <c r="L19" s="164"/>
      <c r="M19" s="183"/>
      <c r="N19" s="183"/>
      <c r="O19" s="164"/>
    </row>
    <row r="20" spans="1:18">
      <c r="G20" s="164"/>
      <c r="H20" s="183"/>
      <c r="I20" s="164"/>
      <c r="L20" s="164"/>
      <c r="M20" s="183"/>
      <c r="N20" s="183"/>
      <c r="O20" s="164"/>
      <c r="P20" s="156">
        <v>17</v>
      </c>
      <c r="R20" s="156">
        <f>IF(P20&lt;=10,0.0035*P20*P20-0.0825*P20+0.9868,0.6718-P20*0.016)</f>
        <v>0.39979999999999993</v>
      </c>
    </row>
    <row r="21" spans="1:18">
      <c r="A21" s="157">
        <v>1.2</v>
      </c>
      <c r="B21" s="184">
        <v>5.5</v>
      </c>
      <c r="C21" s="184">
        <v>9.5</v>
      </c>
      <c r="G21" s="164"/>
      <c r="H21" s="183"/>
      <c r="I21" s="164"/>
      <c r="L21" s="164"/>
      <c r="M21" s="164"/>
      <c r="N21" s="164"/>
      <c r="O21" s="164"/>
      <c r="P21" s="156">
        <v>18</v>
      </c>
      <c r="R21" s="156">
        <f>IF(P21&lt;=10,0.0035*P21*P21-0.0825*P21+0.9868,0.6718-P21*0.016)</f>
        <v>0.38379999999999992</v>
      </c>
    </row>
    <row r="22" spans="1:18">
      <c r="A22" s="157">
        <v>1.5</v>
      </c>
      <c r="B22" s="184">
        <v>6</v>
      </c>
      <c r="C22" s="184">
        <v>13</v>
      </c>
      <c r="G22" s="164"/>
      <c r="H22" s="183"/>
      <c r="I22" s="164"/>
      <c r="L22" s="164"/>
      <c r="M22" s="164"/>
      <c r="N22" s="164"/>
      <c r="O22" s="164"/>
      <c r="P22" s="156">
        <v>19</v>
      </c>
      <c r="R22" s="156">
        <f>IF(P22&lt;=10,0.0035*P22*P22-0.0825*P22+0.9868,0.6718-P22*0.016)</f>
        <v>0.36779999999999996</v>
      </c>
    </row>
    <row r="23" spans="1:18">
      <c r="A23" s="157">
        <v>2</v>
      </c>
      <c r="B23" s="184">
        <v>4.5</v>
      </c>
      <c r="C23" s="184">
        <v>17.8</v>
      </c>
      <c r="G23" s="164"/>
      <c r="H23" s="183"/>
      <c r="I23" s="164"/>
      <c r="L23" s="164"/>
      <c r="M23" s="164"/>
      <c r="N23" s="164"/>
      <c r="O23" s="164"/>
      <c r="P23" s="156">
        <v>20</v>
      </c>
      <c r="R23" s="156">
        <f>IF(P23&lt;=10,0.0035*P23*P23-0.0825*P23+0.9868,0.6718-P23*0.016)</f>
        <v>0.35179999999999995</v>
      </c>
    </row>
    <row r="24" spans="1:18">
      <c r="G24" s="164"/>
      <c r="H24" s="183"/>
      <c r="I24" s="164"/>
      <c r="L24" s="164"/>
      <c r="M24" s="185" t="s">
        <v>133</v>
      </c>
      <c r="N24" s="185" t="s">
        <v>134</v>
      </c>
      <c r="O24" s="164" t="s">
        <v>135</v>
      </c>
    </row>
    <row r="25" spans="1:18">
      <c r="B25" s="186" t="s">
        <v>27</v>
      </c>
      <c r="C25" s="186" t="s">
        <v>28</v>
      </c>
      <c r="D25" s="184" t="s">
        <v>18</v>
      </c>
      <c r="E25" s="184" t="s">
        <v>19</v>
      </c>
      <c r="F25" s="184" t="s">
        <v>20</v>
      </c>
      <c r="G25" s="184" t="s">
        <v>21</v>
      </c>
      <c r="H25" s="184" t="s">
        <v>22</v>
      </c>
      <c r="I25" s="184" t="s">
        <v>32</v>
      </c>
      <c r="J25" s="187" t="s">
        <v>102</v>
      </c>
      <c r="K25" s="188" t="s">
        <v>56</v>
      </c>
      <c r="L25" s="189"/>
      <c r="M25" s="190" t="s">
        <v>130</v>
      </c>
      <c r="N25" s="191">
        <v>3.1739999999999999</v>
      </c>
      <c r="O25" s="164">
        <v>0</v>
      </c>
    </row>
    <row r="26" spans="1:18">
      <c r="A26" s="152" t="s">
        <v>0</v>
      </c>
      <c r="B26" s="192">
        <v>5</v>
      </c>
      <c r="C26" s="193">
        <v>9.5</v>
      </c>
      <c r="D26" s="184">
        <v>1</v>
      </c>
      <c r="E26" s="184" t="s">
        <v>31</v>
      </c>
      <c r="F26" s="184" t="s">
        <v>31</v>
      </c>
      <c r="G26" s="184" t="s">
        <v>31</v>
      </c>
      <c r="H26" s="184" t="s">
        <v>31</v>
      </c>
      <c r="I26" s="184">
        <v>0.4</v>
      </c>
      <c r="J26" s="184">
        <v>0</v>
      </c>
      <c r="K26" s="194">
        <v>6</v>
      </c>
      <c r="L26" s="195"/>
      <c r="M26" s="190" t="s">
        <v>131</v>
      </c>
      <c r="N26" s="191">
        <v>1.9</v>
      </c>
      <c r="O26" s="164">
        <f>N25-N26</f>
        <v>1.274</v>
      </c>
    </row>
    <row r="27" spans="1:18">
      <c r="A27" s="152" t="s">
        <v>92</v>
      </c>
      <c r="B27" s="192">
        <v>0.01</v>
      </c>
      <c r="C27" s="193">
        <v>0</v>
      </c>
      <c r="D27" s="184" t="s">
        <v>31</v>
      </c>
      <c r="E27" s="184" t="s">
        <v>31</v>
      </c>
      <c r="F27" s="184" t="s">
        <v>31</v>
      </c>
      <c r="G27" s="184" t="s">
        <v>31</v>
      </c>
      <c r="H27" s="184" t="s">
        <v>31</v>
      </c>
      <c r="I27" s="184">
        <v>0.4</v>
      </c>
      <c r="J27" s="184">
        <v>0</v>
      </c>
      <c r="K27" s="194">
        <v>6</v>
      </c>
      <c r="L27" s="195"/>
      <c r="M27" s="190" t="s">
        <v>132</v>
      </c>
      <c r="N27" s="191">
        <v>1.75</v>
      </c>
      <c r="O27" s="164">
        <f>N25-N27</f>
        <v>1.4239999999999999</v>
      </c>
    </row>
    <row r="28" spans="1:18">
      <c r="A28" s="152" t="s">
        <v>91</v>
      </c>
      <c r="B28" s="192">
        <v>5.7</v>
      </c>
      <c r="C28" s="193">
        <v>8.5</v>
      </c>
      <c r="D28" s="184">
        <v>1</v>
      </c>
      <c r="E28" s="184">
        <v>1</v>
      </c>
      <c r="F28" s="184" t="s">
        <v>31</v>
      </c>
      <c r="G28" s="184" t="s">
        <v>31</v>
      </c>
      <c r="H28" s="184" t="s">
        <v>31</v>
      </c>
      <c r="I28" s="184">
        <v>0.4</v>
      </c>
      <c r="J28" s="184">
        <v>0</v>
      </c>
      <c r="K28" s="194">
        <v>6</v>
      </c>
      <c r="L28" s="164"/>
      <c r="M28" s="162"/>
      <c r="N28" s="164"/>
      <c r="O28" s="164"/>
    </row>
    <row r="29" spans="1:18">
      <c r="A29" s="152" t="s">
        <v>8</v>
      </c>
      <c r="B29" s="192">
        <v>6</v>
      </c>
      <c r="C29" s="193">
        <v>7.5</v>
      </c>
      <c r="D29" s="184">
        <v>1.05</v>
      </c>
      <c r="E29" s="184">
        <v>1</v>
      </c>
      <c r="F29" s="184" t="s">
        <v>31</v>
      </c>
      <c r="G29" s="184" t="s">
        <v>31</v>
      </c>
      <c r="H29" s="184" t="s">
        <v>31</v>
      </c>
      <c r="I29" s="184">
        <v>0.4</v>
      </c>
      <c r="J29" s="184">
        <v>0</v>
      </c>
      <c r="K29" s="194">
        <v>6</v>
      </c>
      <c r="L29" s="164"/>
      <c r="M29" s="162"/>
      <c r="N29" s="164"/>
      <c r="O29" s="164"/>
    </row>
    <row r="30" spans="1:18">
      <c r="A30" s="152" t="s">
        <v>25</v>
      </c>
      <c r="B30" s="192">
        <v>9</v>
      </c>
      <c r="C30" s="193">
        <v>9.5</v>
      </c>
      <c r="D30" s="184">
        <v>1.1000000000000001</v>
      </c>
      <c r="E30" s="184">
        <v>1.05</v>
      </c>
      <c r="F30" s="184">
        <v>1</v>
      </c>
      <c r="G30" s="184" t="s">
        <v>31</v>
      </c>
      <c r="H30" s="184" t="s">
        <v>31</v>
      </c>
      <c r="I30" s="184">
        <v>0.4</v>
      </c>
      <c r="J30" s="184">
        <v>0</v>
      </c>
      <c r="K30" s="194">
        <v>6</v>
      </c>
      <c r="L30" s="164"/>
      <c r="M30" s="162"/>
      <c r="N30" s="164"/>
      <c r="O30" s="164"/>
    </row>
    <row r="31" spans="1:18">
      <c r="A31" s="152" t="s">
        <v>26</v>
      </c>
      <c r="B31" s="192">
        <v>7.2</v>
      </c>
      <c r="C31" s="193">
        <v>9.5</v>
      </c>
      <c r="D31" s="184">
        <v>1.1000000000000001</v>
      </c>
      <c r="E31" s="184">
        <v>1.05</v>
      </c>
      <c r="F31" s="184">
        <v>1</v>
      </c>
      <c r="G31" s="184" t="s">
        <v>31</v>
      </c>
      <c r="H31" s="184" t="s">
        <v>31</v>
      </c>
      <c r="I31" s="184">
        <v>0.4</v>
      </c>
      <c r="J31" s="184">
        <v>1.274</v>
      </c>
      <c r="K31" s="194">
        <v>6</v>
      </c>
      <c r="L31" s="164"/>
      <c r="M31" s="162"/>
      <c r="N31" s="164"/>
      <c r="O31" s="164"/>
    </row>
    <row r="32" spans="1:18">
      <c r="A32" s="152" t="s">
        <v>100</v>
      </c>
      <c r="B32" s="196">
        <v>7.6</v>
      </c>
      <c r="C32" s="197">
        <v>6.5</v>
      </c>
      <c r="D32" s="184">
        <v>1.1499999999999999</v>
      </c>
      <c r="E32" s="184">
        <v>1.1000000000000001</v>
      </c>
      <c r="F32" s="184">
        <v>1.05</v>
      </c>
      <c r="G32" s="184" t="s">
        <v>31</v>
      </c>
      <c r="H32" s="184" t="s">
        <v>31</v>
      </c>
      <c r="I32" s="184">
        <v>0.4</v>
      </c>
      <c r="J32" s="184">
        <v>1.274</v>
      </c>
      <c r="K32" s="194">
        <v>6</v>
      </c>
      <c r="L32" s="164"/>
      <c r="M32" s="162"/>
      <c r="N32" s="164"/>
      <c r="O32" s="164"/>
    </row>
    <row r="33" spans="1:15">
      <c r="A33" s="152" t="s">
        <v>31</v>
      </c>
      <c r="B33" s="198">
        <v>0.01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200">
        <v>0</v>
      </c>
      <c r="J33" s="200">
        <v>0</v>
      </c>
      <c r="K33" s="194"/>
      <c r="L33" s="164"/>
      <c r="M33" s="162"/>
      <c r="N33" s="164"/>
      <c r="O33" s="164"/>
    </row>
    <row r="34" spans="1:15">
      <c r="A34" s="152" t="s">
        <v>88</v>
      </c>
      <c r="B34" s="192">
        <v>5.5</v>
      </c>
      <c r="C34" s="193">
        <v>13</v>
      </c>
      <c r="D34" s="184">
        <v>0.66600000000000004</v>
      </c>
      <c r="E34" s="184" t="s">
        <v>31</v>
      </c>
      <c r="F34" s="184" t="s">
        <v>31</v>
      </c>
      <c r="G34" s="184" t="s">
        <v>31</v>
      </c>
      <c r="H34" s="184" t="s">
        <v>31</v>
      </c>
      <c r="I34" s="184">
        <v>0.4</v>
      </c>
      <c r="J34" s="184">
        <v>0</v>
      </c>
      <c r="K34" s="194">
        <v>6</v>
      </c>
      <c r="L34" s="164"/>
      <c r="M34" s="162"/>
      <c r="N34" s="164"/>
      <c r="O34" s="164"/>
    </row>
    <row r="35" spans="1:15">
      <c r="A35" s="152" t="s">
        <v>89</v>
      </c>
      <c r="B35" s="192">
        <v>5.5</v>
      </c>
      <c r="C35" s="193">
        <v>13</v>
      </c>
      <c r="D35" s="184">
        <v>0.66600000000000004</v>
      </c>
      <c r="E35" s="184">
        <v>0.66600000000000004</v>
      </c>
      <c r="F35" s="184">
        <v>0.66600000000000004</v>
      </c>
      <c r="G35" s="184">
        <v>0.66600000000000004</v>
      </c>
      <c r="H35" s="184">
        <v>0.66600000000000004</v>
      </c>
      <c r="I35" s="184">
        <v>0.4</v>
      </c>
      <c r="J35" s="184">
        <v>0</v>
      </c>
      <c r="K35" s="194">
        <v>6</v>
      </c>
      <c r="L35" s="164"/>
      <c r="M35" s="162"/>
      <c r="N35" s="164"/>
      <c r="O35" s="164"/>
    </row>
    <row r="36" spans="1:15">
      <c r="A36" s="152" t="s">
        <v>90</v>
      </c>
      <c r="B36" s="192">
        <v>5.5</v>
      </c>
      <c r="C36" s="193">
        <v>13</v>
      </c>
      <c r="D36" s="184">
        <v>0.66600000000000004</v>
      </c>
      <c r="E36" s="184">
        <v>0.66600000000000004</v>
      </c>
      <c r="F36" s="184">
        <v>0.66600000000000004</v>
      </c>
      <c r="G36" s="184">
        <v>0.66600000000000004</v>
      </c>
      <c r="H36" s="184">
        <v>0.66600000000000004</v>
      </c>
      <c r="I36" s="184">
        <v>0.4</v>
      </c>
      <c r="J36" s="184">
        <v>0</v>
      </c>
      <c r="K36" s="194">
        <v>6</v>
      </c>
      <c r="L36" s="164"/>
      <c r="M36" s="162"/>
      <c r="N36" s="164"/>
      <c r="O36" s="164"/>
    </row>
    <row r="37" spans="1:15">
      <c r="A37" s="152" t="s">
        <v>44</v>
      </c>
      <c r="B37" s="192">
        <v>7.2</v>
      </c>
      <c r="C37" s="193">
        <v>10.5</v>
      </c>
      <c r="D37" s="184">
        <v>1</v>
      </c>
      <c r="E37" s="184">
        <v>0.95</v>
      </c>
      <c r="F37" s="184">
        <v>0.9</v>
      </c>
      <c r="G37" s="200" t="s">
        <v>31</v>
      </c>
      <c r="H37" s="200" t="s">
        <v>31</v>
      </c>
      <c r="I37" s="184">
        <v>0.4</v>
      </c>
      <c r="J37" s="184">
        <v>0</v>
      </c>
      <c r="K37" s="194">
        <v>6</v>
      </c>
      <c r="L37" s="164"/>
      <c r="M37" s="162"/>
      <c r="N37" s="164"/>
      <c r="O37" s="164"/>
    </row>
    <row r="38" spans="1:15">
      <c r="G38" s="164"/>
      <c r="H38" s="183"/>
      <c r="I38" s="164"/>
      <c r="L38" s="164"/>
      <c r="M38" s="162"/>
      <c r="N38" s="164"/>
      <c r="O38" s="164"/>
    </row>
    <row r="39" spans="1:15">
      <c r="A39" s="152" t="s">
        <v>1</v>
      </c>
      <c r="B39" s="192">
        <v>5</v>
      </c>
      <c r="C39" s="193">
        <v>9.5</v>
      </c>
      <c r="D39" s="184">
        <v>1</v>
      </c>
      <c r="E39" s="184" t="s">
        <v>31</v>
      </c>
      <c r="F39" s="184" t="s">
        <v>31</v>
      </c>
      <c r="G39" s="184" t="s">
        <v>31</v>
      </c>
      <c r="H39" s="184" t="s">
        <v>31</v>
      </c>
      <c r="I39" s="184">
        <v>0.2</v>
      </c>
      <c r="J39" s="184">
        <v>1.274</v>
      </c>
      <c r="K39" s="194">
        <v>5</v>
      </c>
      <c r="L39" s="164"/>
      <c r="M39" s="162"/>
      <c r="N39" s="164"/>
      <c r="O39" s="164"/>
    </row>
    <row r="40" spans="1:15">
      <c r="A40" s="152" t="s">
        <v>93</v>
      </c>
      <c r="B40" s="192">
        <v>7.5</v>
      </c>
      <c r="C40" s="193">
        <v>7.5</v>
      </c>
      <c r="D40" s="184">
        <v>1.05</v>
      </c>
      <c r="E40" s="184">
        <v>1</v>
      </c>
      <c r="F40" s="184" t="s">
        <v>31</v>
      </c>
      <c r="G40" s="184" t="s">
        <v>31</v>
      </c>
      <c r="H40" s="184" t="s">
        <v>31</v>
      </c>
      <c r="I40" s="184">
        <v>0.2</v>
      </c>
      <c r="J40" s="184">
        <v>1.274</v>
      </c>
      <c r="K40" s="194">
        <v>5</v>
      </c>
      <c r="L40" s="164"/>
      <c r="M40" s="162"/>
      <c r="N40" s="164"/>
      <c r="O40" s="164"/>
    </row>
    <row r="41" spans="1:15">
      <c r="A41" s="152" t="s">
        <v>94</v>
      </c>
      <c r="B41" s="192">
        <v>7.5</v>
      </c>
      <c r="C41" s="193">
        <v>7.5</v>
      </c>
      <c r="D41" s="184">
        <v>1.1000000000000001</v>
      </c>
      <c r="E41" s="184">
        <v>1.05</v>
      </c>
      <c r="F41" s="184">
        <v>1</v>
      </c>
      <c r="G41" s="184">
        <v>1</v>
      </c>
      <c r="H41" s="184" t="s">
        <v>31</v>
      </c>
      <c r="I41" s="184">
        <v>0.2</v>
      </c>
      <c r="J41" s="184">
        <v>1.4239999999999999</v>
      </c>
      <c r="K41" s="194">
        <v>5</v>
      </c>
      <c r="L41" s="164"/>
      <c r="M41" s="162"/>
      <c r="N41" s="164"/>
      <c r="O41" s="164"/>
    </row>
    <row r="42" spans="1:15">
      <c r="A42" s="152" t="s">
        <v>95</v>
      </c>
      <c r="B42" s="192">
        <v>7.5</v>
      </c>
      <c r="C42" s="193">
        <v>7.5</v>
      </c>
      <c r="D42" s="184">
        <v>1.1000000000000001</v>
      </c>
      <c r="E42" s="184">
        <v>1.05</v>
      </c>
      <c r="F42" s="184">
        <v>1</v>
      </c>
      <c r="G42" s="184">
        <v>1</v>
      </c>
      <c r="H42" s="184" t="s">
        <v>31</v>
      </c>
      <c r="I42" s="184">
        <v>0.2</v>
      </c>
      <c r="J42" s="184">
        <v>1.4239999999999999</v>
      </c>
      <c r="K42" s="194">
        <v>5</v>
      </c>
      <c r="L42" s="164"/>
      <c r="M42" s="162"/>
      <c r="N42" s="164"/>
      <c r="O42" s="164"/>
    </row>
    <row r="43" spans="1:15">
      <c r="A43" s="152" t="s">
        <v>96</v>
      </c>
      <c r="B43" s="192">
        <v>8.5</v>
      </c>
      <c r="C43" s="193">
        <v>6</v>
      </c>
      <c r="D43" s="184">
        <v>1.1499999999999999</v>
      </c>
      <c r="E43" s="184">
        <v>1.1000000000000001</v>
      </c>
      <c r="F43" s="184">
        <v>1.05</v>
      </c>
      <c r="G43" s="184">
        <v>1</v>
      </c>
      <c r="H43" s="184">
        <v>1</v>
      </c>
      <c r="I43" s="184">
        <v>0.2</v>
      </c>
      <c r="J43" s="184">
        <v>1.4239999999999999</v>
      </c>
      <c r="K43" s="194">
        <v>5</v>
      </c>
      <c r="L43" s="164"/>
      <c r="M43" s="162"/>
      <c r="N43" s="164"/>
      <c r="O43" s="164"/>
    </row>
    <row r="44" spans="1:15">
      <c r="A44" s="152" t="s">
        <v>7</v>
      </c>
      <c r="B44" s="192">
        <v>8.5</v>
      </c>
      <c r="C44" s="193">
        <v>6</v>
      </c>
      <c r="D44" s="184">
        <v>1.1499999999999999</v>
      </c>
      <c r="E44" s="184">
        <v>1.1000000000000001</v>
      </c>
      <c r="F44" s="184">
        <v>1.05</v>
      </c>
      <c r="G44" s="184">
        <v>1</v>
      </c>
      <c r="H44" s="184">
        <v>1</v>
      </c>
      <c r="I44" s="184">
        <v>0.2</v>
      </c>
      <c r="J44" s="184">
        <v>1.4239999999999999</v>
      </c>
      <c r="K44" s="194">
        <v>5</v>
      </c>
      <c r="L44" s="164"/>
      <c r="M44" s="162"/>
      <c r="N44" s="164"/>
      <c r="O44" s="164"/>
    </row>
    <row r="45" spans="1:15">
      <c r="A45" s="152" t="s">
        <v>31</v>
      </c>
      <c r="B45" s="198">
        <v>0.01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200">
        <v>0</v>
      </c>
      <c r="J45" s="200">
        <v>0</v>
      </c>
      <c r="K45" s="194"/>
      <c r="L45" s="164"/>
      <c r="M45" s="162"/>
      <c r="N45" s="164"/>
      <c r="O45" s="164"/>
    </row>
    <row r="46" spans="1:15">
      <c r="A46" s="152" t="s">
        <v>97</v>
      </c>
      <c r="B46" s="192">
        <v>6</v>
      </c>
      <c r="C46" s="193">
        <v>13</v>
      </c>
      <c r="D46" s="184">
        <v>0.66600000000000004</v>
      </c>
      <c r="E46" s="184">
        <v>0.66600000000000004</v>
      </c>
      <c r="F46" s="184">
        <v>0.66600000000000004</v>
      </c>
      <c r="G46" s="184">
        <v>0.66600000000000004</v>
      </c>
      <c r="H46" s="184">
        <v>0.66600000000000004</v>
      </c>
      <c r="I46" s="184">
        <v>0.2</v>
      </c>
      <c r="J46" s="184">
        <v>1.4239999999999999</v>
      </c>
      <c r="K46" s="194">
        <v>5</v>
      </c>
      <c r="L46" s="164"/>
      <c r="M46" s="162"/>
      <c r="N46" s="164"/>
      <c r="O46" s="164"/>
    </row>
    <row r="47" spans="1:15">
      <c r="A47" s="152" t="s">
        <v>98</v>
      </c>
      <c r="B47" s="201">
        <v>8.5</v>
      </c>
      <c r="C47" s="202">
        <v>5.5</v>
      </c>
      <c r="D47" s="203">
        <v>1.2</v>
      </c>
      <c r="E47" s="203">
        <v>1.2</v>
      </c>
      <c r="F47" s="203">
        <v>1.18</v>
      </c>
      <c r="G47" s="203">
        <v>1.1000000000000001</v>
      </c>
      <c r="H47" s="203">
        <v>1.05</v>
      </c>
      <c r="I47" s="203">
        <v>0.2</v>
      </c>
      <c r="J47" s="184">
        <v>1.4239999999999999</v>
      </c>
      <c r="K47" s="194">
        <v>5</v>
      </c>
      <c r="L47" s="164"/>
      <c r="M47" s="162"/>
      <c r="N47" s="164"/>
      <c r="O47" s="164"/>
    </row>
    <row r="48" spans="1:15">
      <c r="A48" s="174" t="s">
        <v>101</v>
      </c>
      <c r="B48" s="199">
        <v>6</v>
      </c>
      <c r="C48" s="199">
        <v>13.8</v>
      </c>
      <c r="D48" s="200">
        <v>0.66600000000000004</v>
      </c>
      <c r="E48" s="200">
        <v>0.64</v>
      </c>
      <c r="F48" s="200">
        <v>0.61</v>
      </c>
      <c r="G48" s="200">
        <v>0.61</v>
      </c>
      <c r="H48" s="200" t="s">
        <v>31</v>
      </c>
      <c r="I48" s="200">
        <v>0.2</v>
      </c>
      <c r="J48" s="184">
        <v>1.4239999999999999</v>
      </c>
      <c r="K48" s="194">
        <v>5</v>
      </c>
      <c r="L48" s="164"/>
      <c r="M48" s="162"/>
      <c r="N48" s="164"/>
      <c r="O48" s="164"/>
    </row>
    <row r="49" spans="1:15">
      <c r="A49" s="174" t="s">
        <v>43</v>
      </c>
      <c r="B49" s="199">
        <v>7.5</v>
      </c>
      <c r="C49" s="199">
        <v>8</v>
      </c>
      <c r="D49" s="200">
        <v>1</v>
      </c>
      <c r="E49" s="200">
        <v>0.95</v>
      </c>
      <c r="F49" s="200">
        <v>0.9</v>
      </c>
      <c r="G49" s="200">
        <v>0.9</v>
      </c>
      <c r="H49" s="200" t="s">
        <v>31</v>
      </c>
      <c r="I49" s="200">
        <v>0.2</v>
      </c>
      <c r="J49" s="184">
        <v>1.4239999999999999</v>
      </c>
      <c r="K49" s="194">
        <v>5</v>
      </c>
      <c r="L49" s="164"/>
      <c r="M49" s="162"/>
      <c r="N49" s="164"/>
      <c r="O49" s="164"/>
    </row>
    <row r="50" spans="1:15">
      <c r="G50" s="164"/>
      <c r="H50" s="183"/>
      <c r="I50" s="164"/>
      <c r="L50" s="164"/>
      <c r="M50" s="162"/>
      <c r="N50" s="164"/>
      <c r="O50" s="164"/>
    </row>
    <row r="51" spans="1:15">
      <c r="G51" s="164"/>
      <c r="H51" s="183"/>
      <c r="I51" s="164"/>
      <c r="L51" s="164"/>
      <c r="M51" s="162"/>
      <c r="N51" s="164"/>
      <c r="O51" s="164"/>
    </row>
    <row r="52" spans="1:15">
      <c r="A52" s="183"/>
      <c r="B52" s="204"/>
      <c r="C52" s="204"/>
      <c r="D52" s="185"/>
      <c r="E52" s="185"/>
      <c r="F52" s="185"/>
      <c r="G52" s="185"/>
      <c r="H52" s="185"/>
      <c r="I52" s="185"/>
      <c r="J52" s="185"/>
      <c r="K52" s="164"/>
      <c r="L52" s="164"/>
      <c r="M52" s="164"/>
    </row>
    <row r="53" spans="1:15">
      <c r="A53" s="157" t="s">
        <v>18</v>
      </c>
      <c r="B53" s="205">
        <v>109</v>
      </c>
      <c r="C53" s="206">
        <v>107</v>
      </c>
      <c r="D53" s="207">
        <v>105</v>
      </c>
      <c r="E53" s="207">
        <v>4</v>
      </c>
      <c r="F53" s="164"/>
      <c r="G53" s="164" t="s">
        <v>51</v>
      </c>
      <c r="H53" s="164"/>
    </row>
    <row r="54" spans="1:15">
      <c r="A54" s="157" t="s">
        <v>19</v>
      </c>
      <c r="B54" s="205">
        <v>104</v>
      </c>
      <c r="C54" s="206">
        <v>103</v>
      </c>
      <c r="D54" s="207">
        <v>102</v>
      </c>
      <c r="E54" s="207">
        <v>5</v>
      </c>
      <c r="F54" s="164"/>
      <c r="G54" s="164" t="s">
        <v>50</v>
      </c>
      <c r="H54" s="164"/>
    </row>
    <row r="55" spans="1:15">
      <c r="A55" s="152" t="s">
        <v>23</v>
      </c>
      <c r="B55" s="207">
        <v>104</v>
      </c>
      <c r="C55" s="206">
        <v>103</v>
      </c>
      <c r="D55" s="207">
        <v>102</v>
      </c>
      <c r="E55" s="207">
        <v>6</v>
      </c>
      <c r="F55" s="164"/>
      <c r="G55" s="164" t="s">
        <v>52</v>
      </c>
      <c r="H55" s="164"/>
    </row>
    <row r="56" spans="1:15">
      <c r="A56" s="157" t="s">
        <v>21</v>
      </c>
      <c r="B56" s="207">
        <v>105</v>
      </c>
      <c r="C56" s="206">
        <v>103</v>
      </c>
      <c r="D56" s="207">
        <v>102</v>
      </c>
      <c r="E56" s="207">
        <v>7</v>
      </c>
      <c r="F56" s="164"/>
      <c r="G56" s="164" t="s">
        <v>31</v>
      </c>
      <c r="H56" s="164"/>
    </row>
    <row r="57" spans="1:15">
      <c r="A57" s="152" t="s">
        <v>24</v>
      </c>
      <c r="B57" s="207">
        <v>105</v>
      </c>
      <c r="C57" s="206">
        <v>103</v>
      </c>
      <c r="D57" s="207">
        <v>102</v>
      </c>
      <c r="E57" s="207">
        <v>8</v>
      </c>
      <c r="F57" s="164"/>
      <c r="G57" s="164" t="s">
        <v>31</v>
      </c>
      <c r="H57" s="164"/>
    </row>
    <row r="60" spans="1:15">
      <c r="C60" s="208" t="s">
        <v>53</v>
      </c>
      <c r="D60" s="209" t="s">
        <v>54</v>
      </c>
      <c r="E60" s="208" t="s">
        <v>53</v>
      </c>
      <c r="F60" s="209" t="s">
        <v>54</v>
      </c>
      <c r="G60" s="209" t="s">
        <v>53</v>
      </c>
      <c r="H60" s="209" t="s">
        <v>54</v>
      </c>
      <c r="I60" s="209" t="s">
        <v>53</v>
      </c>
      <c r="J60" s="209" t="s">
        <v>54</v>
      </c>
    </row>
    <row r="61" spans="1:15" ht="60" customHeight="1">
      <c r="A61" s="157" t="s">
        <v>18</v>
      </c>
      <c r="B61" s="159" t="s">
        <v>51</v>
      </c>
      <c r="C61" s="210"/>
      <c r="D61" s="211"/>
      <c r="E61" s="212" t="s">
        <v>103</v>
      </c>
      <c r="F61" s="152" t="s">
        <v>104</v>
      </c>
      <c r="G61" s="152" t="s">
        <v>105</v>
      </c>
      <c r="H61" s="153" t="s">
        <v>106</v>
      </c>
      <c r="I61" s="164"/>
      <c r="J61" s="164"/>
      <c r="K61" s="213" t="s">
        <v>48</v>
      </c>
      <c r="L61" s="214"/>
      <c r="M61" s="214"/>
    </row>
    <row r="62" spans="1:15" ht="60" customHeight="1">
      <c r="A62" s="157" t="s">
        <v>19</v>
      </c>
      <c r="B62" s="159" t="s">
        <v>50</v>
      </c>
      <c r="C62" s="210"/>
      <c r="D62" s="211"/>
      <c r="E62" s="212" t="s">
        <v>107</v>
      </c>
      <c r="F62" s="152" t="s">
        <v>108</v>
      </c>
      <c r="G62" s="152" t="s">
        <v>109</v>
      </c>
      <c r="H62" s="153" t="s">
        <v>110</v>
      </c>
      <c r="I62" s="164"/>
      <c r="J62" s="164"/>
      <c r="K62" s="213" t="s">
        <v>49</v>
      </c>
      <c r="L62" s="214"/>
      <c r="M62" s="214"/>
    </row>
    <row r="63" spans="1:15" ht="60" customHeight="1">
      <c r="A63" s="152" t="s">
        <v>23</v>
      </c>
      <c r="B63" s="159" t="s">
        <v>52</v>
      </c>
      <c r="C63" s="210"/>
      <c r="D63" s="211"/>
      <c r="E63" s="212" t="s">
        <v>111</v>
      </c>
      <c r="F63" s="152" t="s">
        <v>112</v>
      </c>
      <c r="G63" s="152" t="s">
        <v>113</v>
      </c>
      <c r="H63" s="153" t="s">
        <v>114</v>
      </c>
      <c r="I63" s="164"/>
      <c r="J63" s="164"/>
      <c r="K63" s="213" t="s">
        <v>58</v>
      </c>
      <c r="L63" s="214"/>
      <c r="M63" s="214"/>
    </row>
    <row r="64" spans="1:15" ht="60" customHeight="1">
      <c r="A64" s="157" t="s">
        <v>21</v>
      </c>
      <c r="B64" s="159" t="s">
        <v>31</v>
      </c>
      <c r="C64" s="210"/>
      <c r="D64" s="211"/>
      <c r="E64" s="212" t="s">
        <v>115</v>
      </c>
      <c r="F64" s="152" t="s">
        <v>116</v>
      </c>
      <c r="G64" s="152" t="s">
        <v>117</v>
      </c>
      <c r="H64" s="153" t="s">
        <v>118</v>
      </c>
      <c r="I64" s="164"/>
      <c r="J64" s="164"/>
      <c r="K64" s="213" t="s">
        <v>31</v>
      </c>
      <c r="L64" s="214"/>
      <c r="M64" s="214"/>
    </row>
    <row r="65" spans="1:13" ht="60" customHeight="1">
      <c r="A65" s="152" t="s">
        <v>24</v>
      </c>
      <c r="B65" s="159" t="s">
        <v>31</v>
      </c>
      <c r="C65" s="210"/>
      <c r="D65" s="211"/>
      <c r="E65" s="212" t="s">
        <v>119</v>
      </c>
      <c r="F65" s="152" t="s">
        <v>120</v>
      </c>
      <c r="G65" s="152" t="s">
        <v>121</v>
      </c>
      <c r="H65" s="153" t="s">
        <v>122</v>
      </c>
      <c r="I65" s="164"/>
      <c r="J65" s="164"/>
      <c r="K65" s="213" t="s">
        <v>31</v>
      </c>
      <c r="L65" s="214"/>
      <c r="M65" s="214"/>
    </row>
    <row r="66" spans="1:13">
      <c r="C66" s="164"/>
      <c r="D66" s="164"/>
    </row>
    <row r="67" spans="1:13">
      <c r="C67" s="164"/>
      <c r="D67" s="164"/>
    </row>
    <row r="68" spans="1:13">
      <c r="A68" s="156" t="str">
        <f>VLOOKUP('Link Length Calculator'!D4,A61:K65,VLOOKUP('Link Length Calculator'!C12,A26:K49,11,FALSE),FALSE)</f>
        <v>Presets!c61</v>
      </c>
      <c r="C68" s="164"/>
      <c r="D68" s="164"/>
    </row>
    <row r="69" spans="1:13">
      <c r="A69" s="156" t="str">
        <f>VLOOKUP('Link Length Calculator'!D4,A61:K65,VLOOKUP('Link Length Calculator'!C12,A26:K49,11,FALSE)+2,FALSE)</f>
        <v>Presets!i61</v>
      </c>
      <c r="C69" s="164"/>
      <c r="D69" s="164"/>
    </row>
  </sheetData>
  <sheetProtection selectLockedCells="1" selectUnlockedCells="1"/>
  <phoneticPr fontId="14" type="noConversion"/>
  <pageMargins left="0.7" right="0.7" top="0.78740157499999996" bottom="0.78740157499999996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4da0c6-8dcf-4dab-85d7-4fe0d46cbf2f" xsi:nil="true"/>
    <o3c59185879f4cc6b7822c222937634c xmlns="604da0c6-8dcf-4dab-85d7-4fe0d46cbf2f">
      <Terms xmlns="http://schemas.microsoft.com/office/infopath/2007/PartnerControls"/>
    </o3c59185879f4cc6b7822c222937634c>
    <TaxKeywordTaxHTField xmlns="604da0c6-8dcf-4dab-85d7-4fe0d46cbf2f">
      <Terms xmlns="http://schemas.microsoft.com/office/infopath/2007/PartnerControls"/>
    </TaxKeywordTaxHTField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D3F587C712E47ABB220F36F0D8EE9" ma:contentTypeVersion="7" ma:contentTypeDescription="Create a new document." ma:contentTypeScope="" ma:versionID="3ad0a7011b493724258f0d4409659186">
  <xsd:schema xmlns:xsd="http://www.w3.org/2001/XMLSchema" xmlns:xs="http://www.w3.org/2001/XMLSchema" xmlns:p="http://schemas.microsoft.com/office/2006/metadata/properties" xmlns:ns2="604da0c6-8dcf-4dab-85d7-4fe0d46cbf2f" xmlns:ns4="b8eabbd9-082b-49f0-aae5-c4896a6e482a" targetNamespace="http://schemas.microsoft.com/office/2006/metadata/properties" ma:root="true" ma:fieldsID="fff9a38d22fac5fbfebfe8fdbf71583f" ns2:_="" ns4:_="">
    <xsd:import namespace="604da0c6-8dcf-4dab-85d7-4fe0d46cbf2f"/>
    <xsd:import namespace="b8eabbd9-082b-49f0-aae5-c4896a6e482a"/>
    <xsd:element name="properties">
      <xsd:complexType>
        <xsd:sequence>
          <xsd:element name="documentManagement">
            <xsd:complexType>
              <xsd:all>
                <xsd:element ref="ns2:o3c59185879f4cc6b7822c222937634c" minOccurs="0"/>
                <xsd:element ref="ns2:TaxCatchAll" minOccurs="0"/>
                <xsd:element ref="ns2:TaxKeywordTaxHTField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4da0c6-8dcf-4dab-85d7-4fe0d46cbf2f" elementFormDefault="qualified">
    <xsd:import namespace="http://schemas.microsoft.com/office/2006/documentManagement/types"/>
    <xsd:import namespace="http://schemas.microsoft.com/office/infopath/2007/PartnerControls"/>
    <xsd:element name="o3c59185879f4cc6b7822c222937634c" ma:index="9" nillable="true" ma:taxonomy="true" ma:internalName="o3c59185879f4cc6b7822c222937634c" ma:taxonomyFieldName="MCKnowledgeTag" ma:displayName="Managed Tag" ma:default="" ma:fieldId="{83c59185-879f-4cc6-b782-2c222937634c}" ma:sspId="8d6dd985-ab24-401f-8930-62bbad31446f" ma:termSetId="d5a49cda-06ce-400c-a7a4-cfdc8cb3f8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8a61821-6673-4cea-8b3f-3f2b4e7c5d7b}" ma:internalName="TaxCatchAll" ma:showField="CatchAllData" ma:web="604da0c6-8dcf-4dab-85d7-4fe0d46cbf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Free Tag" ma:fieldId="{23f27201-bee3-471e-b2e7-b64fd8b7ca38}" ma:taxonomyMulti="true" ma:sspId="8d6dd985-ab24-401f-8930-62bbad31446f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eabbd9-082b-49f0-aae5-c4896a6e48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DBA80D-F5CF-4ABB-9EB0-8F62E4D27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EA71A8-4293-4090-B6C5-33240F6E348D}">
  <ds:schemaRefs>
    <ds:schemaRef ds:uri="http://purl.org/dc/terms/"/>
    <ds:schemaRef ds:uri="http://schemas.microsoft.com/office/2006/documentManagement/types"/>
    <ds:schemaRef ds:uri="604da0c6-8dcf-4dab-85d7-4fe0d46cbf2f"/>
    <ds:schemaRef ds:uri="b8eabbd9-082b-49f0-aae5-c4896a6e482a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C0F39F8-987F-41B0-BAFB-86D1426B02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4da0c6-8dcf-4dab-85d7-4fe0d46cbf2f"/>
    <ds:schemaRef ds:uri="b8eabbd9-082b-49f0-aae5-c4896a6e48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RP Category Calculator</vt:lpstr>
      <vt:lpstr>Link Length Calculator</vt:lpstr>
      <vt:lpstr>Printout</vt:lpstr>
      <vt:lpstr>Presets</vt:lpstr>
      <vt:lpstr>'Link Length Calculator'!Print_Area</vt:lpstr>
      <vt:lpstr>Printout!Print_Area</vt:lpstr>
    </vt:vector>
  </TitlesOfParts>
  <Company>RDM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Herbert Stoffel</dc:creator>
  <cp:lastModifiedBy>Junkermann Thomas</cp:lastModifiedBy>
  <cp:lastPrinted>2021-08-06T12:24:12Z</cp:lastPrinted>
  <dcterms:created xsi:type="dcterms:W3CDTF">2008-08-08T07:05:16Z</dcterms:created>
  <dcterms:modified xsi:type="dcterms:W3CDTF">2022-03-02T15:29:07Z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0x0101001CED3F587C712E47ABB220F36F0D8EE9</vt:lpwstr>
  </property>
</Properties>
</file>